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0" yWindow="0" windowWidth="19440" windowHeight="13740" tabRatio="500" activeTab="0"/>
  </bookViews>
  <sheets>
    <sheet name="Modello LA" sheetId="1" r:id="rId1"/>
  </sheets>
  <definedNames/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<sst xmlns="http://schemas.openxmlformats.org/spreadsheetml/2006/main" count="244" uniqueCount="222">
  <si>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</si>
  <si>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</si>
  <si>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</si>
  <si>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</si>
  <si>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</si>
  <si>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</si>
  <si>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</si>
  <si>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</si>
  <si>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</si>
  <si>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</si>
  <si>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</si>
  <si>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</si>
  <si>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</si>
  <si>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</si>
  <si>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</si>
  <si>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</si>
  <si>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</si>
  <si>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</si>
  <si>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</si>
  <si>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</si>
  <si>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</si>
  <si>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</si>
  <si>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</si>
  <si>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</si>
  <si>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</si>
  <si>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</si>
  <si>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</si>
  <si>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</si>
  <si>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</si>
  <si>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</si>
  <si>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</si>
  <si>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</si>
  <si>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</si>
  <si>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</si>
  <si>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</si>
  <si>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</si>
  <si>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</si>
  <si>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</si>
  <si>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</si>
  <si>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</si>
  <si>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</si>
  <si>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</si>
  <si>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</si>
  <si>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</si>
  <si>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</si>
  <si>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</si>
  <si>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</si>
  <si>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</si>
  <si>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</si>
  <si>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</si>
  <si>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</si>
  <si>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</si>
  <si>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</si>
  <si>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</si>
  <si>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</si>
  <si>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</si>
  <si>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</si>
  <si>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</si>
  <si>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</si>
  <si>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</si>
  <si>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</si>
  <si>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</si>
  <si>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</si>
  <si>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</si>
  <si>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</si>
  <si>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</si>
  <si>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</si>
  <si>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</si>
  <si>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</si>
  <si>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</si>
  <si>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</si>
  <si>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</si>
  <si>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</si>
  <si>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</si>
  <si>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</si>
  <si>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</si>
  <si>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</si>
  <si>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</si>
  <si>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</si>
  <si>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</si>
  <si>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</si>
  <si>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</si>
  <si>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</si>
  <si>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</si>
  <si>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</si>
  <si>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</si>
  <si>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</si>
  <si>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</si>
  <si>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</si>
  <si>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</si>
  <si>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</si>
  <si>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</si>
  <si>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</si>
  <si>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</si>
  <si>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</si>
  <si>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</si>
  <si>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</si>
  <si>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</si>
  <si>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</si>
  <si>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</si>
  <si>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</si>
  <si>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</si>
  <si>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</si>
  <si>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</si>
  <si>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</si>
  <si>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</si>
  <si>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</si>
  <si>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</si>
  <si>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</si>
  <si>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</si>
  <si>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</si>
  <si>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</si>
  <si>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</si>
  <si>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</si>
  <si>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</si>
  <si>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</si>
  <si>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</si>
  <si>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</si>
  <si>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</si>
  <si>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</si>
  <si>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</si>
  <si>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</si>
  <si>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</si>
  <si>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</si>
  <si>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</si>
  <si>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</si>
  <si>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</si>
  <si>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</si>
  <si>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</si>
  <si>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</si>
  <si>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</si>
  <si>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</si>
  <si>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</si>
  <si>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</si>
  <si>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</si>
  <si>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</si>
  <si>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</si>
  <si>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</si>
  <si>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</si>
  <si>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</si>
  <si>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</si>
  <si>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</si>
  <si>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</si>
  <si>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</si>
  <si>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</si>
  <si>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</si>
  <si>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</si>
  <si>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</si>
  <si>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</si>
  <si>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</si>
  <si>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</si>
  <si>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</si>
  <si>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</si>
  <si>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</si>
  <si>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</si>
  <si>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</si>
  <si>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</si>
  <si>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</si>
  <si>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</si>
  <si>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</si>
  <si>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</si>
  <si>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</si>
  <si>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</si>
  <si>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</si>
  <si>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</si>
  <si>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</si>
  <si>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</si>
  <si>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</si>
  <si>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</si>
  <si>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</si>
  <si>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</si>
  <si>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</si>
  <si>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</si>
  <si>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</si>
  <si>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</si>
  <si>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</si>
  <si>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</si>
  <si>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</si>
  <si>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</si>
  <si>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</si>
  <si>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</si>
  <si>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</si>
  <si>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</si>
  <si>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</si>
  <si>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</si>
  <si>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</si>
  <si>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</si>
  <si>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</si>
  <si>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</si>
  <si>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</si>
  <si>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</si>
  <si>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</si>
  <si>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</si>
  <si>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</si>
  <si>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</si>
  <si>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</si>
  <si>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</si>
  <si>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</si>
  <si>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</si>
  <si>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</si>
  <si>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</si>
  <si>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</si>
  <si>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</si>
  <si>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</si>
  <si>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</si>
  <si>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</si>
  <si>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</si>
  <si>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</si>
  <si>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</si>
  <si>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</si>
  <si>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</si>
  <si>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</si>
  <si>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</si>
  <si>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</si>
  <si>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</si>
  <si>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</si>
  <si>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</si>
  <si>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2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</si>
  <si>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2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</si>
  <si>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</si>
  <si>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</si>
  <si>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- 2016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</si>
</sst>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00"/>
    <numFmt numFmtId="167" formatCode="0.0"/>
    <numFmt numFmtId="168" formatCode="&quot;€&quot;\ #,##0.00"/>
    <numFmt numFmtId="169" formatCode="&quot;€&quot;\ #,##0.0"/>
    <numFmt numFmtId="170" formatCode="&quot;€&quot;\ #,##0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b/>
      <u val="single"/>
      <sz val="20"/>
      <color indexed="10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u val="single"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47" applyFont="1" applyFill="1" applyBorder="1" applyAlignment="1" applyProtection="1">
      <alignment vertical="center"/>
      <protection/>
    </xf>
    <xf numFmtId="0" fontId="6" fillId="33" borderId="13" xfId="47" applyFont="1" applyFill="1" applyBorder="1" applyAlignment="1" applyProtection="1">
      <alignment vertical="center"/>
      <protection/>
    </xf>
    <xf numFmtId="0" fontId="6" fillId="33" borderId="14" xfId="47" applyFont="1" applyFill="1" applyBorder="1" applyAlignment="1" applyProtection="1">
      <alignment vertical="center"/>
      <protection/>
    </xf>
    <xf numFmtId="0" fontId="4" fillId="33" borderId="15" xfId="47" applyFont="1" applyFill="1" applyBorder="1" applyAlignment="1" applyProtection="1">
      <alignment horizontal="center" vertical="top" wrapText="1"/>
      <protection/>
    </xf>
    <xf numFmtId="0" fontId="4" fillId="33" borderId="15" xfId="47" applyFont="1" applyFill="1" applyBorder="1" applyAlignment="1" applyProtection="1">
      <alignment horizontal="left" vertical="top" wrapText="1"/>
      <protection/>
    </xf>
    <xf numFmtId="0" fontId="4" fillId="33" borderId="11" xfId="47" applyFont="1" applyFill="1" applyBorder="1" applyAlignment="1" applyProtection="1">
      <alignment horizontal="center" vertical="top" wrapText="1"/>
      <protection/>
    </xf>
    <xf numFmtId="0" fontId="4" fillId="33" borderId="11" xfId="47" applyFont="1" applyFill="1" applyBorder="1" applyAlignment="1" applyProtection="1">
      <alignment horizontal="center"/>
      <protection/>
    </xf>
    <xf numFmtId="165" fontId="4" fillId="33" borderId="16" xfId="4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7" applyFont="1" applyBorder="1" applyAlignment="1" applyProtection="1">
      <alignment horizontal="center" vertical="top"/>
      <protection/>
    </xf>
    <xf numFmtId="0" fontId="2" fillId="0" borderId="0" xfId="47" applyFont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justify" vertical="top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9" fillId="0" borderId="0" xfId="47" applyFont="1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0" fontId="2" fillId="0" borderId="0" xfId="47" applyFont="1" applyProtection="1">
      <alignment/>
      <protection/>
    </xf>
    <xf numFmtId="0" fontId="9" fillId="0" borderId="0" xfId="47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165" fontId="2" fillId="33" borderId="11" xfId="43" applyNumberFormat="1" applyFont="1" applyFill="1" applyBorder="1" applyAlignment="1" applyProtection="1">
      <alignment/>
      <protection/>
    </xf>
    <xf numFmtId="164" fontId="2" fillId="0" borderId="0" xfId="47" applyNumberFormat="1" applyFont="1" applyProtection="1">
      <alignment/>
      <protection/>
    </xf>
    <xf numFmtId="165" fontId="2" fillId="0" borderId="11" xfId="43" applyNumberFormat="1" applyFont="1" applyBorder="1" applyAlignment="1" applyProtection="1">
      <alignment/>
      <protection locked="0"/>
    </xf>
    <xf numFmtId="0" fontId="2" fillId="4" borderId="11" xfId="47" applyFont="1" applyFill="1" applyBorder="1" applyAlignment="1" applyProtection="1">
      <alignment horizontal="center" vertical="center" wrapText="1"/>
      <protection/>
    </xf>
    <xf numFmtId="0" fontId="2" fillId="4" borderId="12" xfId="47" applyFont="1" applyFill="1" applyBorder="1" applyAlignment="1" applyProtection="1">
      <alignment horizontal="left" vertical="center" wrapText="1"/>
      <protection/>
    </xf>
    <xf numFmtId="165" fontId="2" fillId="0" borderId="17" xfId="47" applyNumberFormat="1" applyFont="1" applyBorder="1" applyAlignment="1" applyProtection="1">
      <alignment horizontal="right" vertical="center" wrapText="1"/>
      <protection locked="0"/>
    </xf>
    <xf numFmtId="165" fontId="2" fillId="0" borderId="12" xfId="47" applyNumberFormat="1" applyFont="1" applyBorder="1" applyAlignment="1" applyProtection="1">
      <alignment horizontal="right" vertical="center" wrapText="1"/>
      <protection locked="0"/>
    </xf>
    <xf numFmtId="165" fontId="4" fillId="33" borderId="12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11" xfId="47" applyFont="1" applyFill="1" applyBorder="1" applyAlignment="1" applyProtection="1">
      <alignment horizontal="left" vertical="center" wrapText="1"/>
      <protection/>
    </xf>
    <xf numFmtId="165" fontId="2" fillId="0" borderId="18" xfId="47" applyNumberFormat="1" applyFont="1" applyBorder="1" applyAlignment="1" applyProtection="1">
      <alignment horizontal="right" vertical="center" wrapText="1"/>
      <protection locked="0"/>
    </xf>
    <xf numFmtId="165" fontId="2" fillId="0" borderId="11" xfId="47" applyNumberFormat="1" applyFont="1" applyBorder="1" applyAlignment="1" applyProtection="1">
      <alignment horizontal="right" vertical="center" wrapText="1"/>
      <protection locked="0"/>
    </xf>
    <xf numFmtId="0" fontId="12" fillId="4" borderId="11" xfId="46" applyFont="1" applyFill="1" applyBorder="1" applyAlignment="1" applyProtection="1">
      <alignment horizontal="left" vertical="center" wrapText="1"/>
      <protection/>
    </xf>
    <xf numFmtId="0" fontId="5" fillId="0" borderId="11" xfId="47" applyFont="1" applyFill="1" applyBorder="1" applyAlignment="1" applyProtection="1">
      <alignment horizontal="left" vertical="center"/>
      <protection locked="0"/>
    </xf>
    <xf numFmtId="165" fontId="4" fillId="33" borderId="15" xfId="47" applyNumberFormat="1" applyFont="1" applyFill="1" applyBorder="1" applyAlignment="1" applyProtection="1">
      <alignment horizontal="right" vertical="top" wrapText="1"/>
      <protection/>
    </xf>
    <xf numFmtId="0" fontId="12" fillId="4" borderId="12" xfId="46" applyFont="1" applyFill="1" applyBorder="1" applyAlignment="1" applyProtection="1">
      <alignment horizontal="left" vertical="center" wrapText="1"/>
      <protection/>
    </xf>
    <xf numFmtId="165" fontId="2" fillId="0" borderId="12" xfId="43" applyNumberFormat="1" applyFont="1" applyBorder="1" applyAlignment="1" applyProtection="1">
      <alignment/>
      <protection locked="0"/>
    </xf>
    <xf numFmtId="165" fontId="2" fillId="33" borderId="12" xfId="43" applyNumberFormat="1" applyFont="1" applyFill="1" applyBorder="1" applyAlignment="1" applyProtection="1">
      <alignment/>
      <protection/>
    </xf>
    <xf numFmtId="0" fontId="13" fillId="4" borderId="15" xfId="46" applyFont="1" applyFill="1" applyBorder="1" applyAlignment="1" applyProtection="1">
      <alignment horizontal="left" vertical="center" wrapText="1"/>
      <protection/>
    </xf>
    <xf numFmtId="165" fontId="4" fillId="33" borderId="15" xfId="43" applyNumberFormat="1" applyFont="1" applyFill="1" applyBorder="1" applyAlignment="1" applyProtection="1">
      <alignment/>
      <protection/>
    </xf>
    <xf numFmtId="0" fontId="13" fillId="4" borderId="19" xfId="46" applyFont="1" applyFill="1" applyBorder="1" applyAlignment="1" applyProtection="1">
      <alignment horizontal="left" vertical="center" wrapText="1"/>
      <protection/>
    </xf>
    <xf numFmtId="165" fontId="4" fillId="33" borderId="19" xfId="43" applyNumberFormat="1" applyFont="1" applyFill="1" applyBorder="1" applyAlignment="1" applyProtection="1">
      <alignment/>
      <protection/>
    </xf>
    <xf numFmtId="0" fontId="4" fillId="34" borderId="15" xfId="47" applyFont="1" applyFill="1" applyBorder="1" applyAlignment="1" applyProtection="1">
      <alignment horizontal="center" vertical="center" wrapText="1"/>
      <protection/>
    </xf>
    <xf numFmtId="165" fontId="4" fillId="34" borderId="15" xfId="47" applyNumberFormat="1" applyFont="1" applyFill="1" applyBorder="1" applyAlignment="1" applyProtection="1">
      <alignment horizontal="right" vertical="center" wrapText="1"/>
      <protection/>
    </xf>
    <xf numFmtId="0" fontId="49" fillId="33" borderId="13" xfId="47" applyFont="1" applyFill="1" applyBorder="1" applyAlignment="1" applyProtection="1">
      <alignment horizontal="right"/>
      <protection/>
    </xf>
    <xf numFmtId="0" fontId="49" fillId="33" borderId="14" xfId="47" applyFont="1" applyFill="1" applyBorder="1" applyAlignment="1" applyProtection="1">
      <alignment horizontal="right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0" borderId="11" xfId="47" applyBorder="1" applyAlignment="1" applyProtection="1">
      <alignment vertical="center"/>
      <protection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left" vertical="center"/>
      <protection/>
    </xf>
    <xf numFmtId="0" fontId="5" fillId="33" borderId="13" xfId="47" applyFont="1" applyFill="1" applyBorder="1" applyAlignment="1" applyProtection="1">
      <alignment horizontal="left" vertical="center"/>
      <protection/>
    </xf>
    <xf numFmtId="0" fontId="5" fillId="33" borderId="14" xfId="47" applyFont="1" applyFill="1" applyBorder="1" applyAlignment="1" applyProtection="1">
      <alignment horizontal="left" vertical="center"/>
      <protection/>
    </xf>
    <xf numFmtId="0" fontId="2" fillId="4" borderId="18" xfId="47" applyFont="1" applyFill="1" applyBorder="1" applyAlignment="1" applyProtection="1">
      <alignment horizontal="left" vertical="center"/>
      <protection/>
    </xf>
    <xf numFmtId="0" fontId="2" fillId="4" borderId="13" xfId="47" applyFont="1" applyFill="1" applyBorder="1" applyAlignment="1" applyProtection="1">
      <alignment horizontal="left" vertical="center"/>
      <protection/>
    </xf>
    <xf numFmtId="0" fontId="2" fillId="4" borderId="14" xfId="47" applyFont="1" applyFill="1" applyBorder="1" applyAlignment="1" applyProtection="1">
      <alignment horizontal="left" vertical="center"/>
      <protection/>
    </xf>
    <xf numFmtId="0" fontId="4" fillId="34" borderId="16" xfId="47" applyFont="1" applyFill="1" applyBorder="1" applyAlignment="1" applyProtection="1">
      <alignment horizontal="left" vertical="center"/>
      <protection/>
    </xf>
    <xf numFmtId="0" fontId="4" fillId="34" borderId="20" xfId="47" applyFont="1" applyFill="1" applyBorder="1" applyAlignment="1" applyProtection="1">
      <alignment horizontal="left" vertical="center"/>
      <protection/>
    </xf>
    <xf numFmtId="0" fontId="4" fillId="34" borderId="21" xfId="47" applyFont="1" applyFill="1" applyBorder="1" applyAlignment="1" applyProtection="1">
      <alignment horizontal="left" vertical="center"/>
      <protection/>
    </xf>
    <xf numFmtId="0" fontId="50" fillId="35" borderId="22" xfId="47" applyFont="1" applyFill="1" applyBorder="1" applyAlignment="1" applyProtection="1">
      <alignment horizontal="center" vertical="center"/>
      <protection/>
    </xf>
    <xf numFmtId="0" fontId="50" fillId="35" borderId="23" xfId="47" applyFont="1" applyFill="1" applyBorder="1" applyAlignment="1" applyProtection="1" quotePrefix="1">
      <alignment horizontal="center" vertical="center"/>
      <protection/>
    </xf>
    <xf numFmtId="0" fontId="50" fillId="35" borderId="24" xfId="47" applyFont="1" applyFill="1" applyBorder="1" applyAlignment="1" applyProtection="1" quotePrefix="1">
      <alignment horizontal="center" vertical="center"/>
      <protection/>
    </xf>
    <xf numFmtId="0" fontId="51" fillId="35" borderId="25" xfId="0" applyFont="1" applyFill="1" applyBorder="1" applyAlignment="1" applyProtection="1">
      <alignment/>
      <protection/>
    </xf>
    <xf numFmtId="0" fontId="51" fillId="35" borderId="0" xfId="0" applyFont="1" applyFill="1" applyAlignment="1" applyProtection="1">
      <alignment/>
      <protection/>
    </xf>
    <xf numFmtId="0" fontId="51" fillId="35" borderId="25" xfId="0" applyFont="1" applyFill="1" applyBorder="1" applyAlignment="1" applyProtection="1">
      <alignment horizontal="left" wrapText="1"/>
      <protection/>
    </xf>
    <xf numFmtId="0" fontId="51" fillId="35" borderId="0" xfId="0" applyFont="1" applyFill="1" applyAlignment="1" applyProtection="1">
      <alignment horizontal="left" wrapText="1"/>
      <protection/>
    </xf>
    <xf numFmtId="0" fontId="5" fillId="33" borderId="18" xfId="47" applyFont="1" applyFill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center" vertical="center"/>
      <protection/>
    </xf>
    <xf numFmtId="0" fontId="5" fillId="33" borderId="14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_Allegati_Bilancio_esesrcizio_2011_v27042012_compilato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="70" zoomScaleNormal="70" zoomScalePageLayoutView="0" workbookViewId="0" topLeftCell="A1">
      <selection activeCell="F132" sqref="F132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74" t="s">
        <v>221</v>
      </c>
      <c r="B1" s="75"/>
      <c r="C1" s="76" t="s">
        <v>220</v>
      </c>
      <c r="D1" s="77"/>
      <c r="E1" s="38">
        <v>120110</v>
      </c>
      <c r="F1" s="1"/>
      <c r="G1" s="1"/>
      <c r="H1" s="1"/>
      <c r="I1" s="1"/>
      <c r="J1" s="49" t="s">
        <v>0</v>
      </c>
      <c r="K1" s="49"/>
      <c r="L1" s="49"/>
      <c r="M1" s="49"/>
      <c r="N1" s="49"/>
      <c r="O1" s="50"/>
    </row>
    <row r="2" spans="1:15" ht="30" customHeight="1">
      <c r="A2" s="51" t="s">
        <v>1</v>
      </c>
      <c r="B2" s="52" t="s">
        <v>2</v>
      </c>
      <c r="C2" s="54" t="s">
        <v>3</v>
      </c>
      <c r="D2" s="54"/>
      <c r="E2" s="54" t="s">
        <v>4</v>
      </c>
      <c r="F2" s="54"/>
      <c r="G2" s="54"/>
      <c r="H2" s="54" t="s">
        <v>5</v>
      </c>
      <c r="I2" s="54" t="s">
        <v>6</v>
      </c>
      <c r="J2" s="54" t="s">
        <v>7</v>
      </c>
      <c r="K2" s="54" t="s">
        <v>8</v>
      </c>
      <c r="L2" s="54" t="s">
        <v>9</v>
      </c>
      <c r="M2" s="54" t="s">
        <v>10</v>
      </c>
      <c r="N2" s="54" t="s">
        <v>11</v>
      </c>
      <c r="O2" s="54" t="s">
        <v>12</v>
      </c>
    </row>
    <row r="3" spans="1:15" ht="45" customHeight="1">
      <c r="A3" s="51"/>
      <c r="B3" s="53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5"/>
      <c r="I3" s="54"/>
      <c r="J3" s="54"/>
      <c r="K3" s="54"/>
      <c r="L3" s="56"/>
      <c r="M3" s="56"/>
      <c r="N3" s="57"/>
      <c r="O3" s="56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>
        <v>287</v>
      </c>
      <c r="H5" s="30"/>
      <c r="I5" s="31"/>
      <c r="J5" s="31"/>
      <c r="K5" s="31"/>
      <c r="L5" s="31"/>
      <c r="M5" s="31"/>
      <c r="N5" s="31"/>
      <c r="O5" s="32">
        <f>SUM(C5:N5)</f>
        <v>287</v>
      </c>
    </row>
    <row r="6" spans="1:15" s="33" customFormat="1" ht="30.75" customHeight="1">
      <c r="A6" s="28" t="s">
        <v>21</v>
      </c>
      <c r="B6" s="34" t="s">
        <v>22</v>
      </c>
      <c r="C6" s="35"/>
      <c r="D6" s="35"/>
      <c r="E6" s="36"/>
      <c r="F6" s="36"/>
      <c r="G6" s="36">
        <v>2189</v>
      </c>
      <c r="H6" s="35"/>
      <c r="I6" s="36"/>
      <c r="J6" s="36"/>
      <c r="K6" s="36"/>
      <c r="L6" s="36"/>
      <c r="M6" s="36"/>
      <c r="N6" s="36"/>
      <c r="O6" s="32">
        <f>SUM(C6:N6)</f>
        <v>2189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>
        <v>3048</v>
      </c>
      <c r="H7" s="35"/>
      <c r="I7" s="36"/>
      <c r="J7" s="36"/>
      <c r="K7" s="36"/>
      <c r="L7" s="36"/>
      <c r="M7" s="36"/>
      <c r="N7" s="36"/>
      <c r="O7" s="32">
        <f>SUM(C7:N7)</f>
        <v>3048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5524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39">
        <f>SUM(C8:N8)</f>
        <v>5524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10" t="s">
        <v>28</v>
      </c>
    </row>
    <row r="11" spans="1:15" s="33" customFormat="1" ht="16.5" customHeight="1">
      <c r="A11" s="28" t="s">
        <v>29</v>
      </c>
      <c r="B11" s="61" t="s">
        <v>30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36"/>
    </row>
    <row r="12" spans="1:15" s="33" customFormat="1" ht="16.5" customHeight="1">
      <c r="A12" s="28" t="s">
        <v>31</v>
      </c>
      <c r="B12" s="61" t="s">
        <v>32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36">
        <v>2008</v>
      </c>
    </row>
    <row r="13" spans="1:15" s="33" customFormat="1" ht="16.5" customHeight="1">
      <c r="A13" s="28" t="s">
        <v>33</v>
      </c>
      <c r="B13" s="61" t="s">
        <v>34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36"/>
    </row>
    <row r="14" spans="1:15" s="33" customFormat="1" ht="16.5" customHeight="1">
      <c r="A14" s="28" t="s">
        <v>35</v>
      </c>
      <c r="B14" s="61" t="s">
        <v>36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36"/>
    </row>
    <row r="15" spans="1:15" s="33" customFormat="1" ht="16.5" customHeight="1">
      <c r="A15" s="28" t="s">
        <v>37</v>
      </c>
      <c r="B15" s="61" t="s">
        <v>38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36">
        <v>396</v>
      </c>
    </row>
    <row r="16" spans="1:15" s="33" customFormat="1" ht="16.5" customHeight="1">
      <c r="A16" s="28" t="s">
        <v>39</v>
      </c>
      <c r="B16" s="61" t="s">
        <v>40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36">
        <v>7454</v>
      </c>
    </row>
    <row r="17" spans="1:15" s="33" customFormat="1" ht="16.5" customHeight="1">
      <c r="A17" s="28" t="s">
        <v>41</v>
      </c>
      <c r="B17" s="61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36">
        <v>2851</v>
      </c>
    </row>
    <row r="18" spans="1:15" s="33" customFormat="1" ht="16.5" customHeight="1">
      <c r="A18" s="28" t="s">
        <v>43</v>
      </c>
      <c r="B18" s="61" t="s">
        <v>44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36">
        <v>4775</v>
      </c>
    </row>
    <row r="19" spans="1:15" s="33" customFormat="1" ht="16.5" customHeight="1">
      <c r="A19" s="28" t="s">
        <v>45</v>
      </c>
      <c r="B19" s="61" t="s">
        <v>46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36"/>
    </row>
    <row r="20" spans="1:15" s="33" customFormat="1" ht="16.5" customHeight="1">
      <c r="A20" s="28" t="s">
        <v>47</v>
      </c>
      <c r="B20" s="61" t="s">
        <v>48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36">
        <v>19</v>
      </c>
    </row>
    <row r="21" spans="1:15" s="33" customFormat="1" ht="16.5" customHeight="1">
      <c r="A21" s="28" t="s">
        <v>49</v>
      </c>
      <c r="B21" s="61" t="s">
        <v>50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36"/>
    </row>
    <row r="22" spans="1:15" s="33" customFormat="1" ht="16.5" customHeight="1">
      <c r="A22" s="28" t="s">
        <v>51</v>
      </c>
      <c r="B22" s="61" t="s">
        <v>52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36">
        <v>96</v>
      </c>
    </row>
    <row r="23" spans="1:15" s="33" customFormat="1" ht="16.5" customHeight="1">
      <c r="A23" s="28" t="s">
        <v>53</v>
      </c>
      <c r="B23" s="61" t="s">
        <v>54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36">
        <v>44</v>
      </c>
    </row>
    <row r="24" spans="1:15" s="33" customFormat="1" ht="16.5" customHeight="1">
      <c r="A24" s="28" t="s">
        <v>55</v>
      </c>
      <c r="B24" s="61" t="s">
        <v>56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36"/>
    </row>
    <row r="25" spans="1:15" s="33" customFormat="1" ht="16.5" customHeight="1">
      <c r="A25" s="28" t="s">
        <v>57</v>
      </c>
      <c r="B25" s="61" t="s">
        <v>58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36"/>
    </row>
    <row r="26" spans="1:15" s="33" customFormat="1" ht="16.5" customHeight="1">
      <c r="A26" s="28" t="s">
        <v>59</v>
      </c>
      <c r="B26" s="61" t="s">
        <v>60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36"/>
    </row>
    <row r="27" spans="1:15" s="33" customFormat="1" ht="16.5" customHeight="1">
      <c r="A27" s="28" t="s">
        <v>61</v>
      </c>
      <c r="B27" s="61" t="s">
        <v>62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36"/>
    </row>
    <row r="28" spans="1:15" s="33" customFormat="1" ht="16.5" customHeight="1">
      <c r="A28" s="28" t="s">
        <v>63</v>
      </c>
      <c r="B28" s="61" t="s">
        <v>64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6"/>
    </row>
    <row r="29" spans="1:15" s="33" customFormat="1" ht="16.5" customHeight="1">
      <c r="A29" s="28" t="s">
        <v>65</v>
      </c>
      <c r="B29" s="61" t="s">
        <v>66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36"/>
    </row>
    <row r="30" spans="1:15" s="33" customFormat="1" ht="16.5" customHeight="1">
      <c r="A30" s="28" t="s">
        <v>67</v>
      </c>
      <c r="B30" s="61" t="s">
        <v>68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36"/>
    </row>
    <row r="31" spans="1:15" s="33" customFormat="1" ht="16.5" customHeight="1">
      <c r="A31" s="28" t="s">
        <v>69</v>
      </c>
      <c r="B31" s="61" t="s">
        <v>70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36">
        <v>4837</v>
      </c>
    </row>
    <row r="32" spans="1:15" s="33" customFormat="1" ht="16.5" customHeight="1">
      <c r="A32" s="28" t="s">
        <v>71</v>
      </c>
      <c r="B32" s="61" t="s">
        <v>72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36">
        <v>24011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58" t="s">
        <v>73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 t="s">
        <v>28</v>
      </c>
    </row>
    <row r="35" spans="1:15" s="33" customFormat="1" ht="16.5" customHeight="1">
      <c r="A35" s="28" t="s">
        <v>74</v>
      </c>
      <c r="B35" s="61" t="s">
        <v>75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36"/>
    </row>
    <row r="36" spans="1:15" s="33" customFormat="1" ht="16.5" customHeight="1">
      <c r="A36" s="28" t="s">
        <v>76</v>
      </c>
      <c r="B36" s="61" t="s">
        <v>77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36"/>
    </row>
    <row r="37" spans="1:15" s="33" customFormat="1" ht="16.5" customHeight="1">
      <c r="A37" s="28" t="s">
        <v>78</v>
      </c>
      <c r="B37" s="61" t="s">
        <v>79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36">
        <v>39</v>
      </c>
    </row>
    <row r="38" spans="1:15" s="33" customFormat="1" ht="16.5" customHeight="1">
      <c r="A38" s="28" t="s">
        <v>80</v>
      </c>
      <c r="B38" s="61" t="s">
        <v>81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36">
        <v>52</v>
      </c>
    </row>
    <row r="39" spans="1:15" s="33" customFormat="1" ht="16.5" customHeight="1">
      <c r="A39" s="28" t="s">
        <v>82</v>
      </c>
      <c r="B39" s="61" t="s">
        <v>83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36">
        <v>243</v>
      </c>
    </row>
    <row r="40" spans="1:15" s="33" customFormat="1" ht="16.5" customHeight="1">
      <c r="A40" s="28" t="s">
        <v>84</v>
      </c>
      <c r="B40" s="61" t="s">
        <v>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36">
        <v>1971</v>
      </c>
    </row>
    <row r="41" spans="1:15" s="33" customFormat="1" ht="16.5" customHeight="1">
      <c r="A41" s="28" t="s">
        <v>86</v>
      </c>
      <c r="B41" s="61" t="s">
        <v>87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36">
        <v>425</v>
      </c>
    </row>
    <row r="42" spans="1:15" s="33" customFormat="1" ht="16.5" customHeight="1">
      <c r="A42" s="28" t="s">
        <v>88</v>
      </c>
      <c r="B42" s="61" t="s">
        <v>89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36">
        <v>3854</v>
      </c>
    </row>
    <row r="43" spans="1:15" s="33" customFormat="1" ht="16.5" customHeight="1">
      <c r="A43" s="28" t="s">
        <v>90</v>
      </c>
      <c r="B43" s="61" t="s">
        <v>91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36">
        <v>182</v>
      </c>
    </row>
    <row r="44" spans="1:15" s="33" customFormat="1" ht="16.5" customHeight="1">
      <c r="A44" s="28" t="s">
        <v>92</v>
      </c>
      <c r="B44" s="61" t="s">
        <v>93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36">
        <v>52</v>
      </c>
    </row>
    <row r="45" spans="1:15" s="33" customFormat="1" ht="16.5" customHeight="1">
      <c r="A45" s="28" t="s">
        <v>94</v>
      </c>
      <c r="B45" s="61" t="s">
        <v>95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36"/>
    </row>
    <row r="46" spans="1:15" s="33" customFormat="1" ht="16.5" customHeight="1">
      <c r="A46" s="28" t="s">
        <v>96</v>
      </c>
      <c r="B46" s="61" t="s">
        <v>97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36">
        <v>141</v>
      </c>
    </row>
    <row r="47" spans="1:15" s="33" customFormat="1" ht="16.5" customHeight="1">
      <c r="A47" s="28" t="s">
        <v>98</v>
      </c>
      <c r="B47" s="61" t="s">
        <v>99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36"/>
    </row>
    <row r="48" spans="1:15" s="33" customFormat="1" ht="16.5" customHeight="1">
      <c r="A48" s="28" t="s">
        <v>100</v>
      </c>
      <c r="B48" s="61" t="s">
        <v>101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36">
        <v>163</v>
      </c>
    </row>
    <row r="49" spans="1:15" s="33" customFormat="1" ht="16.5" customHeight="1">
      <c r="A49" s="28" t="s">
        <v>102</v>
      </c>
      <c r="B49" s="61" t="s">
        <v>103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36"/>
    </row>
    <row r="50" spans="1:15" s="33" customFormat="1" ht="16.5" customHeight="1">
      <c r="A50" s="28" t="s">
        <v>104</v>
      </c>
      <c r="B50" s="61" t="s">
        <v>105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36"/>
    </row>
    <row r="51" spans="1:15" s="33" customFormat="1" ht="16.5" customHeight="1">
      <c r="A51" s="28" t="s">
        <v>106</v>
      </c>
      <c r="B51" s="61" t="s">
        <v>107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36"/>
    </row>
    <row r="52" spans="1:15" s="33" customFormat="1" ht="16.5" customHeight="1">
      <c r="A52" s="28" t="s">
        <v>108</v>
      </c>
      <c r="B52" s="61" t="s">
        <v>109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36">
        <v>49</v>
      </c>
    </row>
    <row r="53" spans="1:15" s="33" customFormat="1" ht="16.5" customHeight="1">
      <c r="A53" s="28" t="s">
        <v>110</v>
      </c>
      <c r="B53" s="61" t="s">
        <v>111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36"/>
    </row>
    <row r="54" spans="1:15" s="33" customFormat="1" ht="16.5" customHeight="1">
      <c r="A54" s="28" t="s">
        <v>112</v>
      </c>
      <c r="B54" s="61" t="s">
        <v>113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36"/>
    </row>
    <row r="55" spans="1:15" s="33" customFormat="1" ht="16.5" customHeight="1">
      <c r="A55" s="28" t="s">
        <v>114</v>
      </c>
      <c r="B55" s="61" t="s">
        <v>115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36">
        <v>863</v>
      </c>
    </row>
    <row r="56" spans="1:15" s="33" customFormat="1" ht="16.5" customHeight="1">
      <c r="A56" s="28" t="s">
        <v>116</v>
      </c>
      <c r="B56" s="61" t="s">
        <v>117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36">
        <v>23252</v>
      </c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58" t="s">
        <v>118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10" t="s">
        <v>28</v>
      </c>
    </row>
    <row r="59" spans="1:15" s="33" customFormat="1" ht="16.5" customHeight="1">
      <c r="A59" s="28" t="s">
        <v>119</v>
      </c>
      <c r="B59" s="61" t="s">
        <v>120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  <c r="O59" s="36">
        <v>392</v>
      </c>
    </row>
    <row r="60" spans="1:15" s="33" customFormat="1" ht="16.5" customHeight="1">
      <c r="A60" s="28" t="s">
        <v>121</v>
      </c>
      <c r="B60" s="61" t="s">
        <v>122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36"/>
    </row>
    <row r="61" spans="1:15" s="33" customFormat="1" ht="16.5" customHeight="1">
      <c r="A61" s="28" t="s">
        <v>123</v>
      </c>
      <c r="B61" s="61" t="s">
        <v>124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58" t="s">
        <v>125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10" t="s">
        <v>28</v>
      </c>
    </row>
    <row r="64" spans="1:15" s="33" customFormat="1" ht="16.5" customHeight="1">
      <c r="A64" s="28" t="s">
        <v>126</v>
      </c>
      <c r="B64" s="61" t="s">
        <v>127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36"/>
    </row>
    <row r="65" spans="1:15" s="33" customFormat="1" ht="16.5" customHeight="1">
      <c r="A65" s="28" t="s">
        <v>128</v>
      </c>
      <c r="B65" s="61" t="s">
        <v>129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36"/>
    </row>
    <row r="66" spans="1:15" s="33" customFormat="1" ht="16.5" customHeight="1">
      <c r="A66" s="28" t="s">
        <v>130</v>
      </c>
      <c r="B66" s="61" t="s">
        <v>131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36"/>
    </row>
    <row r="67" spans="1:15" s="33" customFormat="1" ht="16.5" customHeight="1">
      <c r="A67" s="28" t="s">
        <v>132</v>
      </c>
      <c r="B67" s="61" t="s">
        <v>133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36"/>
    </row>
    <row r="68" spans="1:15" s="33" customFormat="1" ht="16.5" customHeight="1">
      <c r="A68" s="28" t="s">
        <v>134</v>
      </c>
      <c r="B68" s="61" t="s">
        <v>135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36"/>
    </row>
    <row r="69" spans="1:15" s="33" customFormat="1" ht="16.5" customHeight="1">
      <c r="A69" s="28" t="s">
        <v>136</v>
      </c>
      <c r="B69" s="61" t="s">
        <v>137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36"/>
    </row>
    <row r="70" spans="1:15" s="33" customFormat="1" ht="16.5" customHeight="1">
      <c r="A70" s="28" t="s">
        <v>138</v>
      </c>
      <c r="B70" s="61" t="s">
        <v>139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36"/>
    </row>
    <row r="71" spans="1:15" s="33" customFormat="1" ht="16.5" customHeight="1">
      <c r="A71" s="28" t="s">
        <v>140</v>
      </c>
      <c r="B71" s="61" t="s">
        <v>141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36"/>
    </row>
    <row r="72" spans="1:15" s="33" customFormat="1" ht="16.5" customHeight="1">
      <c r="A72" s="28" t="s">
        <v>142</v>
      </c>
      <c r="B72" s="61" t="s">
        <v>143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36"/>
    </row>
    <row r="73" spans="1:15" s="33" customFormat="1" ht="16.5" customHeight="1">
      <c r="A73" s="28" t="s">
        <v>144</v>
      </c>
      <c r="B73" s="61" t="s">
        <v>145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36"/>
    </row>
    <row r="74" spans="1:15" s="33" customFormat="1" ht="16.5" customHeight="1">
      <c r="A74" s="28" t="s">
        <v>146</v>
      </c>
      <c r="B74" s="61" t="s">
        <v>147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36"/>
    </row>
    <row r="75" spans="1:15" s="33" customFormat="1" ht="16.5" customHeight="1">
      <c r="A75" s="28" t="s">
        <v>148</v>
      </c>
      <c r="B75" s="61" t="s">
        <v>149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36"/>
    </row>
    <row r="76" spans="1:15" s="33" customFormat="1" ht="16.5" customHeight="1">
      <c r="A76" s="28" t="s">
        <v>150</v>
      </c>
      <c r="B76" s="61" t="s">
        <v>151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36"/>
    </row>
    <row r="77" spans="1:15" s="33" customFormat="1" ht="16.5" customHeight="1">
      <c r="A77" s="28" t="s">
        <v>152</v>
      </c>
      <c r="B77" s="61" t="s">
        <v>153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36"/>
    </row>
    <row r="78" spans="1:15" s="33" customFormat="1" ht="16.5" customHeight="1">
      <c r="A78" s="28" t="s">
        <v>154</v>
      </c>
      <c r="B78" s="61" t="s">
        <v>155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36"/>
    </row>
    <row r="79" spans="1:15" s="33" customFormat="1" ht="16.5" customHeight="1">
      <c r="A79" s="28" t="s">
        <v>156</v>
      </c>
      <c r="B79" s="61" t="s">
        <v>157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36"/>
    </row>
    <row r="80" spans="1:15" s="33" customFormat="1" ht="16.5" customHeight="1" thickBot="1">
      <c r="A80" s="47" t="s">
        <v>158</v>
      </c>
      <c r="B80" s="64" t="s">
        <v>159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58" t="s">
        <v>160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  <c r="O82" s="10" t="s">
        <v>28</v>
      </c>
    </row>
    <row r="83" spans="1:15" s="33" customFormat="1" ht="16.5" customHeight="1">
      <c r="A83" s="28" t="s">
        <v>161</v>
      </c>
      <c r="B83" s="61" t="s">
        <v>162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36"/>
    </row>
    <row r="84" spans="1:15" s="33" customFormat="1" ht="16.5" customHeight="1">
      <c r="A84" s="28" t="s">
        <v>163</v>
      </c>
      <c r="B84" s="61" t="s">
        <v>164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36"/>
    </row>
    <row r="85" spans="1:15" s="33" customFormat="1" ht="16.5" customHeight="1">
      <c r="A85" s="28" t="s">
        <v>165</v>
      </c>
      <c r="B85" s="61" t="s">
        <v>166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51" t="s">
        <v>1</v>
      </c>
      <c r="B87" s="52" t="s">
        <v>2</v>
      </c>
      <c r="C87" s="54" t="s">
        <v>3</v>
      </c>
      <c r="D87" s="54"/>
      <c r="E87" s="54" t="s">
        <v>4</v>
      </c>
      <c r="F87" s="54"/>
      <c r="G87" s="54"/>
      <c r="H87" s="54" t="s">
        <v>5</v>
      </c>
      <c r="I87" s="54" t="s">
        <v>6</v>
      </c>
      <c r="J87" s="54" t="s">
        <v>7</v>
      </c>
      <c r="K87" s="54" t="s">
        <v>8</v>
      </c>
      <c r="L87" s="54" t="s">
        <v>9</v>
      </c>
      <c r="M87" s="54" t="s">
        <v>10</v>
      </c>
      <c r="N87" s="54" t="s">
        <v>11</v>
      </c>
      <c r="O87" s="54" t="s">
        <v>12</v>
      </c>
    </row>
    <row r="88" spans="1:15" ht="38.25">
      <c r="A88" s="51"/>
      <c r="B88" s="53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5"/>
      <c r="I88" s="54"/>
      <c r="J88" s="54"/>
      <c r="K88" s="54"/>
      <c r="L88" s="56"/>
      <c r="M88" s="56"/>
      <c r="N88" s="57"/>
      <c r="O88" s="56"/>
    </row>
    <row r="89" spans="1:15" ht="24.75" customHeight="1">
      <c r="A89" s="37">
        <v>10100</v>
      </c>
      <c r="B89" s="37" t="s">
        <v>167</v>
      </c>
      <c r="C89" s="27">
        <v>3</v>
      </c>
      <c r="D89" s="27">
        <v>5</v>
      </c>
      <c r="E89" s="27"/>
      <c r="F89" s="27">
        <v>52</v>
      </c>
      <c r="G89" s="27">
        <f>238+23</f>
        <v>261</v>
      </c>
      <c r="H89" s="27">
        <f>938-69+110-52</f>
        <v>927</v>
      </c>
      <c r="I89" s="27">
        <v>0</v>
      </c>
      <c r="J89" s="27">
        <v>0</v>
      </c>
      <c r="K89" s="27">
        <f>42+104-23</f>
        <v>123</v>
      </c>
      <c r="L89" s="27">
        <v>15</v>
      </c>
      <c r="M89" s="27">
        <v>14</v>
      </c>
      <c r="N89" s="27">
        <v>249</v>
      </c>
      <c r="O89" s="25">
        <f aca="true" t="shared" si="1" ref="O89:O95">SUM(C89:N89)</f>
        <v>1649</v>
      </c>
    </row>
    <row r="90" spans="1:15" ht="24.75" customHeight="1">
      <c r="A90" s="37">
        <v>10200</v>
      </c>
      <c r="B90" s="37" t="s">
        <v>168</v>
      </c>
      <c r="C90" s="27">
        <v>0</v>
      </c>
      <c r="D90" s="27">
        <v>3</v>
      </c>
      <c r="E90" s="27"/>
      <c r="F90" s="27">
        <v>33</v>
      </c>
      <c r="G90" s="27">
        <f>160+15</f>
        <v>175</v>
      </c>
      <c r="H90" s="27">
        <f>587+75-33</f>
        <v>629</v>
      </c>
      <c r="I90" s="27">
        <v>0</v>
      </c>
      <c r="J90" s="27">
        <v>0</v>
      </c>
      <c r="K90" s="27">
        <v>0</v>
      </c>
      <c r="L90" s="27">
        <f>10+1</f>
        <v>11</v>
      </c>
      <c r="M90" s="27">
        <v>10</v>
      </c>
      <c r="N90" s="27">
        <v>160</v>
      </c>
      <c r="O90" s="25">
        <f t="shared" si="1"/>
        <v>1021</v>
      </c>
    </row>
    <row r="91" spans="1:15" ht="24.75" customHeight="1">
      <c r="A91" s="37">
        <v>10300</v>
      </c>
      <c r="B91" s="37" t="s">
        <v>169</v>
      </c>
      <c r="C91" s="27">
        <v>0</v>
      </c>
      <c r="D91" s="27">
        <f>1+6</f>
        <v>7</v>
      </c>
      <c r="E91" s="27"/>
      <c r="F91" s="27">
        <v>55</v>
      </c>
      <c r="G91" s="27">
        <f>229+25</f>
        <v>254</v>
      </c>
      <c r="H91" s="27">
        <f>835+106-55</f>
        <v>886</v>
      </c>
      <c r="I91" s="27">
        <v>0</v>
      </c>
      <c r="J91" s="27">
        <v>0</v>
      </c>
      <c r="K91" s="27">
        <f>130+322-15-25</f>
        <v>412</v>
      </c>
      <c r="L91" s="27">
        <f>14+6</f>
        <v>20</v>
      </c>
      <c r="M91" s="27">
        <v>15</v>
      </c>
      <c r="N91" s="27">
        <v>263</v>
      </c>
      <c r="O91" s="25">
        <f t="shared" si="1"/>
        <v>1912</v>
      </c>
    </row>
    <row r="92" spans="1:15" ht="24.75" customHeight="1">
      <c r="A92" s="37">
        <v>10400</v>
      </c>
      <c r="B92" s="37" t="s">
        <v>170</v>
      </c>
      <c r="C92" s="27">
        <v>19</v>
      </c>
      <c r="D92" s="27">
        <f>4+8+12</f>
        <v>24</v>
      </c>
      <c r="E92" s="27">
        <v>349</v>
      </c>
      <c r="F92" s="27">
        <v>77</v>
      </c>
      <c r="G92" s="27">
        <f>300+34</f>
        <v>334</v>
      </c>
      <c r="H92" s="27">
        <f>1100+140-77</f>
        <v>1163</v>
      </c>
      <c r="I92" s="27">
        <v>0</v>
      </c>
      <c r="J92" s="27">
        <f>62+43</f>
        <v>105</v>
      </c>
      <c r="K92" s="27">
        <f>185+459-34</f>
        <v>610</v>
      </c>
      <c r="L92" s="27">
        <v>19</v>
      </c>
      <c r="M92" s="27">
        <v>21</v>
      </c>
      <c r="N92" s="27">
        <v>368</v>
      </c>
      <c r="O92" s="25">
        <f t="shared" si="1"/>
        <v>3089</v>
      </c>
    </row>
    <row r="93" spans="1:15" ht="24.75" customHeight="1">
      <c r="A93" s="37">
        <v>10500</v>
      </c>
      <c r="B93" s="37" t="s">
        <v>171</v>
      </c>
      <c r="C93" s="27">
        <f>891+82</f>
        <v>973</v>
      </c>
      <c r="D93" s="27">
        <f>1+1</f>
        <v>2</v>
      </c>
      <c r="E93" s="27"/>
      <c r="F93" s="27">
        <v>13</v>
      </c>
      <c r="G93" s="27">
        <f>55+6</f>
        <v>61</v>
      </c>
      <c r="H93" s="27">
        <f>200+25-13</f>
        <v>212</v>
      </c>
      <c r="I93" s="27">
        <v>0</v>
      </c>
      <c r="J93" s="27">
        <f>5+3</f>
        <v>8</v>
      </c>
      <c r="K93" s="27">
        <f>22+55-6</f>
        <v>71</v>
      </c>
      <c r="L93" s="27">
        <v>4</v>
      </c>
      <c r="M93" s="27">
        <v>4</v>
      </c>
      <c r="N93" s="27">
        <v>62</v>
      </c>
      <c r="O93" s="25">
        <f t="shared" si="1"/>
        <v>1410</v>
      </c>
    </row>
    <row r="94" spans="1:15" ht="24.75" customHeight="1">
      <c r="A94" s="37">
        <v>10600</v>
      </c>
      <c r="B94" s="37" t="s">
        <v>172</v>
      </c>
      <c r="C94" s="27">
        <v>1</v>
      </c>
      <c r="D94" s="27">
        <f>1+3</f>
        <v>4</v>
      </c>
      <c r="E94" s="27"/>
      <c r="F94" s="27">
        <f>677+33</f>
        <v>710</v>
      </c>
      <c r="G94" s="27">
        <f>118+15</f>
        <v>133</v>
      </c>
      <c r="H94" s="27">
        <f>433+55-33</f>
        <v>455</v>
      </c>
      <c r="I94" s="27">
        <v>0</v>
      </c>
      <c r="J94" s="27">
        <f>27+19</f>
        <v>46</v>
      </c>
      <c r="K94" s="27">
        <f>120+297-15</f>
        <v>402</v>
      </c>
      <c r="L94" s="27">
        <f>7+3</f>
        <v>10</v>
      </c>
      <c r="M94" s="27">
        <v>9</v>
      </c>
      <c r="N94" s="27">
        <v>158</v>
      </c>
      <c r="O94" s="25">
        <f t="shared" si="1"/>
        <v>1928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996</v>
      </c>
      <c r="D95" s="44">
        <f t="shared" si="2"/>
        <v>45</v>
      </c>
      <c r="E95" s="44">
        <f t="shared" si="2"/>
        <v>349</v>
      </c>
      <c r="F95" s="44">
        <f t="shared" si="2"/>
        <v>940</v>
      </c>
      <c r="G95" s="44">
        <f t="shared" si="2"/>
        <v>1218</v>
      </c>
      <c r="H95" s="44">
        <f t="shared" si="2"/>
        <v>4272</v>
      </c>
      <c r="I95" s="44">
        <f t="shared" si="2"/>
        <v>0</v>
      </c>
      <c r="J95" s="44">
        <f t="shared" si="2"/>
        <v>159</v>
      </c>
      <c r="K95" s="44">
        <f t="shared" si="2"/>
        <v>1618</v>
      </c>
      <c r="L95" s="44">
        <f t="shared" si="2"/>
        <v>79</v>
      </c>
      <c r="M95" s="44">
        <f t="shared" si="2"/>
        <v>73</v>
      </c>
      <c r="N95" s="44">
        <f t="shared" si="2"/>
        <v>1260</v>
      </c>
      <c r="O95" s="44">
        <f t="shared" si="1"/>
        <v>11009</v>
      </c>
    </row>
    <row r="96" spans="1:15" ht="24.75" customHeight="1" thickTop="1">
      <c r="A96" s="40">
        <v>20100</v>
      </c>
      <c r="B96" s="40" t="s">
        <v>174</v>
      </c>
      <c r="C96" s="41"/>
      <c r="D96" s="41">
        <v>0</v>
      </c>
      <c r="E96" s="41">
        <f>3457+(222/3)</f>
        <v>3531</v>
      </c>
      <c r="F96" s="41">
        <v>2</v>
      </c>
      <c r="G96" s="41">
        <v>10</v>
      </c>
      <c r="H96" s="41">
        <v>0</v>
      </c>
      <c r="I96" s="41">
        <v>0</v>
      </c>
      <c r="J96" s="41">
        <v>0</v>
      </c>
      <c r="K96" s="41">
        <v>30</v>
      </c>
      <c r="L96" s="41"/>
      <c r="M96" s="41">
        <v>0</v>
      </c>
      <c r="N96" s="41">
        <v>8</v>
      </c>
      <c r="O96" s="42">
        <f aca="true" t="shared" si="3" ref="O96:O138">SUM(C96:N96)</f>
        <v>3581</v>
      </c>
    </row>
    <row r="97" spans="1:15" ht="24.75" customHeight="1">
      <c r="A97" s="37">
        <v>20201</v>
      </c>
      <c r="B97" s="37" t="s">
        <v>175</v>
      </c>
      <c r="C97" s="27">
        <f>75+68-137</f>
        <v>6</v>
      </c>
      <c r="D97" s="27">
        <f>6+1+5</f>
        <v>12</v>
      </c>
      <c r="E97" s="27">
        <f>14471+(222/3)</f>
        <v>14545</v>
      </c>
      <c r="F97" s="27">
        <v>45</v>
      </c>
      <c r="G97" s="27">
        <v>266</v>
      </c>
      <c r="H97" s="41">
        <f>241+360+62+84-47-2</f>
        <v>698</v>
      </c>
      <c r="I97" s="41">
        <v>0</v>
      </c>
      <c r="J97" s="41">
        <v>0</v>
      </c>
      <c r="K97" s="27">
        <f>66+58+307-20</f>
        <v>411</v>
      </c>
      <c r="L97" s="27"/>
      <c r="M97" s="27">
        <v>12</v>
      </c>
      <c r="N97" s="27">
        <v>215</v>
      </c>
      <c r="O97" s="25">
        <f t="shared" si="3"/>
        <v>16210</v>
      </c>
    </row>
    <row r="98" spans="1:15" ht="24.75" customHeight="1">
      <c r="A98" s="37">
        <v>20202</v>
      </c>
      <c r="B98" s="37" t="s">
        <v>176</v>
      </c>
      <c r="C98" s="27"/>
      <c r="D98" s="27">
        <v>0</v>
      </c>
      <c r="E98" s="27">
        <f>2381+(222/3)</f>
        <v>2455</v>
      </c>
      <c r="F98" s="27">
        <v>2</v>
      </c>
      <c r="G98" s="27">
        <v>11</v>
      </c>
      <c r="H98" s="41">
        <v>0</v>
      </c>
      <c r="I98" s="41">
        <v>0</v>
      </c>
      <c r="J98" s="41">
        <v>0</v>
      </c>
      <c r="K98" s="27">
        <f>33+82-1</f>
        <v>114</v>
      </c>
      <c r="L98" s="27">
        <f>494+228</f>
        <v>722</v>
      </c>
      <c r="M98" s="27">
        <v>1</v>
      </c>
      <c r="N98" s="27">
        <v>9</v>
      </c>
      <c r="O98" s="25">
        <f t="shared" si="3"/>
        <v>3314</v>
      </c>
    </row>
    <row r="99" spans="1:15" ht="24.75" customHeight="1">
      <c r="A99" s="37">
        <v>20300</v>
      </c>
      <c r="B99" s="37" t="s">
        <v>177</v>
      </c>
      <c r="C99" s="27"/>
      <c r="D99" s="27">
        <v>0</v>
      </c>
      <c r="E99" s="27">
        <v>237</v>
      </c>
      <c r="F99" s="27"/>
      <c r="G99" s="27">
        <v>0</v>
      </c>
      <c r="H99" s="27"/>
      <c r="I99" s="27"/>
      <c r="J99" s="27"/>
      <c r="K99" s="27"/>
      <c r="L99" s="27"/>
      <c r="M99" s="27">
        <v>0</v>
      </c>
      <c r="N99" s="27">
        <v>0</v>
      </c>
      <c r="O99" s="25">
        <f t="shared" si="3"/>
        <v>237</v>
      </c>
    </row>
    <row r="100" spans="1:15" ht="29.25" customHeight="1">
      <c r="A100" s="37">
        <v>20401</v>
      </c>
      <c r="B100" s="37" t="s">
        <v>178</v>
      </c>
      <c r="C100" s="27"/>
      <c r="D100" s="27">
        <v>2</v>
      </c>
      <c r="E100" s="27">
        <v>26380</v>
      </c>
      <c r="F100" s="27">
        <v>22</v>
      </c>
      <c r="G100" s="27">
        <f>121+10</f>
        <v>131</v>
      </c>
      <c r="H100" s="27">
        <f>298+38+38-22</f>
        <v>352</v>
      </c>
      <c r="I100" s="27">
        <v>0</v>
      </c>
      <c r="J100" s="27">
        <v>0</v>
      </c>
      <c r="K100" s="27">
        <f>92+228-10</f>
        <v>310</v>
      </c>
      <c r="L100" s="27"/>
      <c r="M100" s="27">
        <v>6</v>
      </c>
      <c r="N100" s="27">
        <v>106</v>
      </c>
      <c r="O100" s="25">
        <f t="shared" si="3"/>
        <v>27309</v>
      </c>
    </row>
    <row r="101" spans="1:15" ht="28.5" customHeight="1">
      <c r="A101" s="37">
        <v>20402</v>
      </c>
      <c r="B101" s="37" t="s">
        <v>179</v>
      </c>
      <c r="C101" s="27">
        <f>6223+9758</f>
        <v>15981</v>
      </c>
      <c r="D101" s="27">
        <v>3</v>
      </c>
      <c r="E101" s="27">
        <f>1290+7454+1778</f>
        <v>10522</v>
      </c>
      <c r="F101" s="27">
        <v>34</v>
      </c>
      <c r="G101" s="27">
        <f>185+15</f>
        <v>200</v>
      </c>
      <c r="H101" s="27">
        <f>353+45+34</f>
        <v>432</v>
      </c>
      <c r="I101" s="27">
        <v>0</v>
      </c>
      <c r="J101" s="27">
        <f>161+111</f>
        <v>272</v>
      </c>
      <c r="K101" s="27">
        <f>82+203-15</f>
        <v>270</v>
      </c>
      <c r="L101" s="27"/>
      <c r="M101" s="27">
        <v>9</v>
      </c>
      <c r="N101" s="27">
        <v>163</v>
      </c>
      <c r="O101" s="25">
        <f t="shared" si="3"/>
        <v>27886</v>
      </c>
    </row>
    <row r="102" spans="1:15" ht="24.75" customHeight="1">
      <c r="A102" s="37">
        <v>20500</v>
      </c>
      <c r="B102" s="37" t="s">
        <v>180</v>
      </c>
      <c r="C102" s="27"/>
      <c r="D102" s="27">
        <v>0</v>
      </c>
      <c r="E102" s="27">
        <f>4733+163</f>
        <v>4896</v>
      </c>
      <c r="F102" s="27">
        <f>2322+4</f>
        <v>2326</v>
      </c>
      <c r="G102" s="27">
        <f>24+2</f>
        <v>26</v>
      </c>
      <c r="H102" s="27">
        <f>51+6-4</f>
        <v>53</v>
      </c>
      <c r="I102" s="27">
        <v>0</v>
      </c>
      <c r="J102" s="27">
        <v>0</v>
      </c>
      <c r="K102" s="27">
        <f>28+69-2</f>
        <v>95</v>
      </c>
      <c r="L102" s="27"/>
      <c r="M102" s="27">
        <v>1</v>
      </c>
      <c r="N102" s="27">
        <v>22</v>
      </c>
      <c r="O102" s="25">
        <f t="shared" si="3"/>
        <v>7419</v>
      </c>
    </row>
    <row r="103" spans="1:15" ht="24.75" customHeight="1">
      <c r="A103" s="37">
        <v>20601</v>
      </c>
      <c r="B103" s="37" t="s">
        <v>181</v>
      </c>
      <c r="C103" s="27">
        <f>4127+55+10+660+1437+430+3-4597-120</f>
        <v>2005</v>
      </c>
      <c r="D103" s="27">
        <f>20+1+7+10+1+64</f>
        <v>103</v>
      </c>
      <c r="E103" s="27">
        <f>258-21+8629+2530</f>
        <v>11396</v>
      </c>
      <c r="F103" s="27">
        <v>638</v>
      </c>
      <c r="G103" s="27">
        <f>3493+286</f>
        <v>3779</v>
      </c>
      <c r="H103" s="27">
        <f>3525+739+44+1665+4214+74+28+1308-638-67</f>
        <v>10892</v>
      </c>
      <c r="I103" s="27">
        <v>0</v>
      </c>
      <c r="J103" s="27">
        <f>245+75+4+77+114+7+1+359</f>
        <v>882</v>
      </c>
      <c r="K103" s="27">
        <f>397+98-286</f>
        <v>209</v>
      </c>
      <c r="L103" s="27">
        <f>664+231</f>
        <v>895</v>
      </c>
      <c r="M103" s="27">
        <v>177</v>
      </c>
      <c r="N103" s="27">
        <v>3060</v>
      </c>
      <c r="O103" s="25">
        <f t="shared" si="3"/>
        <v>34036</v>
      </c>
    </row>
    <row r="104" spans="1:15" ht="24.75" customHeight="1">
      <c r="A104" s="37">
        <v>20602</v>
      </c>
      <c r="B104" s="37" t="s">
        <v>182</v>
      </c>
      <c r="C104" s="27">
        <f>81+1640-589</f>
        <v>1132</v>
      </c>
      <c r="D104" s="27">
        <f>1+4+9</f>
        <v>14</v>
      </c>
      <c r="E104" s="27">
        <v>1064</v>
      </c>
      <c r="F104" s="27">
        <f>185+632+92</f>
        <v>909</v>
      </c>
      <c r="G104" s="27">
        <f>1570+42</f>
        <v>1612</v>
      </c>
      <c r="H104" s="27">
        <f>342+1224+199-92</f>
        <v>1673</v>
      </c>
      <c r="I104" s="27">
        <v>0</v>
      </c>
      <c r="J104" s="27">
        <f>3+30+23</f>
        <v>56</v>
      </c>
      <c r="K104" s="27">
        <f>9+17+64-42</f>
        <v>48</v>
      </c>
      <c r="L104" s="27">
        <v>231</v>
      </c>
      <c r="M104" s="27">
        <v>26</v>
      </c>
      <c r="N104" s="27">
        <v>444</v>
      </c>
      <c r="O104" s="25">
        <f t="shared" si="3"/>
        <v>7209</v>
      </c>
    </row>
    <row r="105" spans="1:15" ht="24.75" customHeight="1">
      <c r="A105" s="37">
        <v>20603</v>
      </c>
      <c r="B105" s="37" t="s">
        <v>183</v>
      </c>
      <c r="C105" s="27">
        <f>6+14+26+29+9+562+3242-2659</f>
        <v>1229</v>
      </c>
      <c r="D105" s="27">
        <f>15+15+2+1+44</f>
        <v>77</v>
      </c>
      <c r="E105" s="27">
        <f>200+450</f>
        <v>650</v>
      </c>
      <c r="F105" s="27">
        <v>434</v>
      </c>
      <c r="G105" s="27">
        <f>2374+1063+195</f>
        <v>3632</v>
      </c>
      <c r="H105" s="27">
        <f>2769+2993+1076-20+5+76+35+27+885-434</f>
        <v>7412</v>
      </c>
      <c r="I105" s="27">
        <v>0</v>
      </c>
      <c r="J105" s="27">
        <f>2+2+2+27+92+192+218</f>
        <v>535</v>
      </c>
      <c r="K105" s="27">
        <f>30+312+84-195</f>
        <v>231</v>
      </c>
      <c r="L105" s="27">
        <f>5+231+291</f>
        <v>527</v>
      </c>
      <c r="M105" s="27">
        <v>120</v>
      </c>
      <c r="N105" s="27">
        <v>2080</v>
      </c>
      <c r="O105" s="25">
        <f t="shared" si="3"/>
        <v>16927</v>
      </c>
    </row>
    <row r="106" spans="1:15" ht="24.75" customHeight="1">
      <c r="A106" s="37">
        <v>20700</v>
      </c>
      <c r="B106" s="37" t="s">
        <v>184</v>
      </c>
      <c r="C106" s="27"/>
      <c r="D106" s="27">
        <v>0</v>
      </c>
      <c r="E106" s="27">
        <v>4043</v>
      </c>
      <c r="F106" s="27">
        <v>4</v>
      </c>
      <c r="G106" s="27">
        <f>25+2</f>
        <v>27</v>
      </c>
      <c r="H106" s="27">
        <f>51+6-4</f>
        <v>53</v>
      </c>
      <c r="I106" s="27">
        <v>0</v>
      </c>
      <c r="J106" s="27">
        <v>0</v>
      </c>
      <c r="K106" s="27">
        <f>2869-1045-2</f>
        <v>1822</v>
      </c>
      <c r="L106" s="27"/>
      <c r="M106" s="27">
        <v>2</v>
      </c>
      <c r="N106" s="27">
        <v>22</v>
      </c>
      <c r="O106" s="25">
        <f t="shared" si="3"/>
        <v>5973</v>
      </c>
    </row>
    <row r="107" spans="1:15" ht="27.75" customHeight="1">
      <c r="A107" s="37">
        <v>20801</v>
      </c>
      <c r="B107" s="37" t="s">
        <v>185</v>
      </c>
      <c r="C107" s="27">
        <f>712-487</f>
        <v>225</v>
      </c>
      <c r="D107" s="27">
        <f>1+9</f>
        <v>10</v>
      </c>
      <c r="E107" s="27">
        <v>606</v>
      </c>
      <c r="F107" s="27">
        <v>89</v>
      </c>
      <c r="G107" s="27">
        <f>487+40</f>
        <v>527</v>
      </c>
      <c r="H107" s="27">
        <f>1384+176-89</f>
        <v>1471</v>
      </c>
      <c r="I107" s="27">
        <v>0</v>
      </c>
      <c r="J107" s="27">
        <f>144+99</f>
        <v>243</v>
      </c>
      <c r="K107" s="27">
        <f>34+84-40</f>
        <v>78</v>
      </c>
      <c r="L107" s="27">
        <v>189</v>
      </c>
      <c r="M107" s="27">
        <v>25</v>
      </c>
      <c r="N107" s="27">
        <v>426</v>
      </c>
      <c r="O107" s="25">
        <f t="shared" si="3"/>
        <v>3889</v>
      </c>
    </row>
    <row r="108" spans="1:15" ht="27.75" customHeight="1">
      <c r="A108" s="37">
        <v>20802</v>
      </c>
      <c r="B108" s="37" t="s">
        <v>186</v>
      </c>
      <c r="C108" s="27">
        <f>901-616-84</f>
        <v>201</v>
      </c>
      <c r="D108" s="27">
        <f>1+12</f>
        <v>13</v>
      </c>
      <c r="E108" s="27">
        <v>21</v>
      </c>
      <c r="F108" s="27">
        <v>121</v>
      </c>
      <c r="G108" s="27">
        <f>665+55</f>
        <v>720</v>
      </c>
      <c r="H108" s="27">
        <f>1877+239-121</f>
        <v>1995</v>
      </c>
      <c r="I108" s="27">
        <v>0</v>
      </c>
      <c r="J108" s="27">
        <f>201+138</f>
        <v>339</v>
      </c>
      <c r="K108" s="27">
        <f>57+141-55-74</f>
        <v>69</v>
      </c>
      <c r="L108" s="27">
        <f>89+19</f>
        <v>108</v>
      </c>
      <c r="M108" s="27">
        <v>34</v>
      </c>
      <c r="N108" s="27">
        <v>583</v>
      </c>
      <c r="O108" s="25">
        <f t="shared" si="3"/>
        <v>4204</v>
      </c>
    </row>
    <row r="109" spans="1:15" ht="27.75" customHeight="1">
      <c r="A109" s="37">
        <v>20803</v>
      </c>
      <c r="B109" s="37" t="s">
        <v>187</v>
      </c>
      <c r="C109" s="27">
        <f>123</f>
        <v>123</v>
      </c>
      <c r="D109" s="27">
        <f>3+17</f>
        <v>20</v>
      </c>
      <c r="E109" s="27"/>
      <c r="F109" s="27">
        <v>164</v>
      </c>
      <c r="G109" s="27">
        <f>899+74</f>
        <v>973</v>
      </c>
      <c r="H109" s="27">
        <f>2696+343-164</f>
        <v>2875</v>
      </c>
      <c r="I109" s="27">
        <v>0</v>
      </c>
      <c r="J109" s="27">
        <f>188+129</f>
        <v>317</v>
      </c>
      <c r="K109" s="27">
        <v>0</v>
      </c>
      <c r="L109" s="27">
        <f>48+3</f>
        <v>51</v>
      </c>
      <c r="M109" s="27">
        <v>46</v>
      </c>
      <c r="N109" s="27">
        <v>787</v>
      </c>
      <c r="O109" s="25">
        <f t="shared" si="3"/>
        <v>5356</v>
      </c>
    </row>
    <row r="110" spans="1:15" ht="27.75" customHeight="1">
      <c r="A110" s="37">
        <v>20804</v>
      </c>
      <c r="B110" s="37" t="s">
        <v>188</v>
      </c>
      <c r="C110" s="27"/>
      <c r="D110" s="27">
        <v>0</v>
      </c>
      <c r="E110" s="27">
        <v>4875</v>
      </c>
      <c r="F110" s="27"/>
      <c r="G110" s="27">
        <v>0</v>
      </c>
      <c r="H110" s="27"/>
      <c r="I110" s="27"/>
      <c r="J110" s="27"/>
      <c r="K110" s="27"/>
      <c r="L110" s="27"/>
      <c r="M110" s="27">
        <v>0</v>
      </c>
      <c r="N110" s="27">
        <v>0</v>
      </c>
      <c r="O110" s="25">
        <f t="shared" si="3"/>
        <v>4875</v>
      </c>
    </row>
    <row r="111" spans="1:15" ht="27.75" customHeight="1">
      <c r="A111" s="37">
        <v>20805</v>
      </c>
      <c r="B111" s="37" t="s">
        <v>189</v>
      </c>
      <c r="C111" s="27">
        <v>3</v>
      </c>
      <c r="D111" s="27">
        <f>29+4</f>
        <v>33</v>
      </c>
      <c r="E111" s="27"/>
      <c r="F111" s="27">
        <v>45</v>
      </c>
      <c r="G111" s="27">
        <f>245+20</f>
        <v>265</v>
      </c>
      <c r="H111" s="27">
        <f>619+79-45</f>
        <v>653</v>
      </c>
      <c r="I111" s="27">
        <v>0</v>
      </c>
      <c r="J111" s="27">
        <f>14+10</f>
        <v>24</v>
      </c>
      <c r="K111" s="27">
        <f>152+377-20-12</f>
        <v>497</v>
      </c>
      <c r="L111" s="27">
        <v>3</v>
      </c>
      <c r="M111" s="27">
        <v>12</v>
      </c>
      <c r="N111" s="27">
        <v>214</v>
      </c>
      <c r="O111" s="25">
        <f t="shared" si="3"/>
        <v>1749</v>
      </c>
    </row>
    <row r="112" spans="1:15" ht="27.75" customHeight="1">
      <c r="A112" s="37">
        <v>20806</v>
      </c>
      <c r="B112" s="37" t="s">
        <v>190</v>
      </c>
      <c r="C112" s="27"/>
      <c r="D112" s="27">
        <v>0</v>
      </c>
      <c r="E112" s="27">
        <v>146</v>
      </c>
      <c r="F112" s="27"/>
      <c r="G112" s="27">
        <v>0</v>
      </c>
      <c r="H112" s="27"/>
      <c r="I112" s="27"/>
      <c r="J112" s="27"/>
      <c r="K112" s="27"/>
      <c r="L112" s="27"/>
      <c r="M112" s="27">
        <v>0</v>
      </c>
      <c r="N112" s="27">
        <v>0</v>
      </c>
      <c r="O112" s="25">
        <f t="shared" si="3"/>
        <v>146</v>
      </c>
    </row>
    <row r="113" spans="1:15" ht="27.75" customHeight="1">
      <c r="A113" s="37">
        <v>20807</v>
      </c>
      <c r="B113" s="37" t="s">
        <v>191</v>
      </c>
      <c r="C113" s="27"/>
      <c r="D113" s="27">
        <v>0</v>
      </c>
      <c r="E113" s="27"/>
      <c r="F113" s="27"/>
      <c r="G113" s="27">
        <v>0</v>
      </c>
      <c r="H113" s="27"/>
      <c r="I113" s="27"/>
      <c r="J113" s="27"/>
      <c r="K113" s="27"/>
      <c r="L113" s="27"/>
      <c r="M113" s="27">
        <v>0</v>
      </c>
      <c r="N113" s="27">
        <v>0</v>
      </c>
      <c r="O113" s="25">
        <f t="shared" si="3"/>
        <v>0</v>
      </c>
    </row>
    <row r="114" spans="1:15" ht="27.75" customHeight="1">
      <c r="A114" s="37">
        <v>20808</v>
      </c>
      <c r="B114" s="37" t="s">
        <v>192</v>
      </c>
      <c r="C114" s="27"/>
      <c r="D114" s="27">
        <v>0</v>
      </c>
      <c r="E114" s="27">
        <v>322</v>
      </c>
      <c r="F114" s="27"/>
      <c r="G114" s="27">
        <v>0</v>
      </c>
      <c r="H114" s="27"/>
      <c r="I114" s="27"/>
      <c r="J114" s="27"/>
      <c r="K114" s="27"/>
      <c r="L114" s="27"/>
      <c r="M114" s="27">
        <v>0</v>
      </c>
      <c r="N114" s="27">
        <v>0</v>
      </c>
      <c r="O114" s="25">
        <f t="shared" si="3"/>
        <v>322</v>
      </c>
    </row>
    <row r="115" spans="1:15" ht="27.75" customHeight="1">
      <c r="A115" s="37">
        <v>20901</v>
      </c>
      <c r="B115" s="37" t="s">
        <v>193</v>
      </c>
      <c r="C115" s="27">
        <v>11</v>
      </c>
      <c r="D115" s="27">
        <f>1+3</f>
        <v>4</v>
      </c>
      <c r="E115" s="27"/>
      <c r="F115" s="27">
        <v>25</v>
      </c>
      <c r="G115" s="27">
        <f>137+11</f>
        <v>148</v>
      </c>
      <c r="H115" s="27">
        <f>401+51-25-27</f>
        <v>400</v>
      </c>
      <c r="I115" s="27">
        <v>0</v>
      </c>
      <c r="J115" s="27">
        <f>40+27-11</f>
        <v>56</v>
      </c>
      <c r="K115" s="27">
        <v>0</v>
      </c>
      <c r="L115" s="27">
        <v>38</v>
      </c>
      <c r="M115" s="27">
        <v>7</v>
      </c>
      <c r="N115" s="27">
        <v>120</v>
      </c>
      <c r="O115" s="25">
        <f t="shared" si="3"/>
        <v>809</v>
      </c>
    </row>
    <row r="116" spans="1:15" ht="27.75" customHeight="1">
      <c r="A116" s="37">
        <v>20902</v>
      </c>
      <c r="B116" s="37" t="s">
        <v>194</v>
      </c>
      <c r="C116" s="27"/>
      <c r="D116" s="27">
        <v>0</v>
      </c>
      <c r="E116" s="27"/>
      <c r="F116" s="27">
        <v>27</v>
      </c>
      <c r="G116" s="27">
        <v>12</v>
      </c>
      <c r="H116" s="27"/>
      <c r="I116" s="27"/>
      <c r="J116" s="27"/>
      <c r="K116" s="27"/>
      <c r="L116" s="27"/>
      <c r="M116" s="27">
        <v>0</v>
      </c>
      <c r="N116" s="27">
        <v>0</v>
      </c>
      <c r="O116" s="25">
        <f t="shared" si="3"/>
        <v>39</v>
      </c>
    </row>
    <row r="117" spans="1:15" ht="27.75" customHeight="1">
      <c r="A117" s="37">
        <v>20903</v>
      </c>
      <c r="B117" s="37" t="s">
        <v>195</v>
      </c>
      <c r="C117" s="27">
        <v>2</v>
      </c>
      <c r="D117" s="27">
        <f>17+3</f>
        <v>20</v>
      </c>
      <c r="E117" s="27"/>
      <c r="F117" s="27"/>
      <c r="G117" s="27">
        <v>146</v>
      </c>
      <c r="H117" s="27">
        <f>371+47</f>
        <v>418</v>
      </c>
      <c r="I117" s="27">
        <v>0</v>
      </c>
      <c r="J117" s="27">
        <f>8+5</f>
        <v>13</v>
      </c>
      <c r="K117" s="27">
        <f>91+226</f>
        <v>317</v>
      </c>
      <c r="L117" s="27"/>
      <c r="M117" s="27">
        <v>7</v>
      </c>
      <c r="N117" s="27">
        <v>128</v>
      </c>
      <c r="O117" s="25">
        <f t="shared" si="3"/>
        <v>1051</v>
      </c>
    </row>
    <row r="118" spans="1:15" ht="27.75" customHeight="1">
      <c r="A118" s="37">
        <v>20904</v>
      </c>
      <c r="B118" s="37" t="s">
        <v>196</v>
      </c>
      <c r="C118" s="27"/>
      <c r="D118" s="27">
        <v>0</v>
      </c>
      <c r="E118" s="27"/>
      <c r="F118" s="27"/>
      <c r="G118" s="27">
        <v>0</v>
      </c>
      <c r="H118" s="27"/>
      <c r="I118" s="27"/>
      <c r="J118" s="27"/>
      <c r="K118" s="27"/>
      <c r="L118" s="27"/>
      <c r="M118" s="27">
        <v>0</v>
      </c>
      <c r="N118" s="27">
        <v>0</v>
      </c>
      <c r="O118" s="25">
        <f t="shared" si="3"/>
        <v>0</v>
      </c>
    </row>
    <row r="119" spans="1:15" ht="27.75" customHeight="1">
      <c r="A119" s="37">
        <v>20905</v>
      </c>
      <c r="B119" s="37" t="s">
        <v>197</v>
      </c>
      <c r="C119" s="27"/>
      <c r="D119" s="27">
        <v>0</v>
      </c>
      <c r="E119" s="27"/>
      <c r="F119" s="27"/>
      <c r="G119" s="27">
        <v>0</v>
      </c>
      <c r="H119" s="27"/>
      <c r="I119" s="27"/>
      <c r="J119" s="27"/>
      <c r="K119" s="27"/>
      <c r="L119" s="27"/>
      <c r="M119" s="27">
        <v>0</v>
      </c>
      <c r="N119" s="27">
        <v>0</v>
      </c>
      <c r="O119" s="25">
        <f t="shared" si="3"/>
        <v>0</v>
      </c>
    </row>
    <row r="120" spans="1:15" ht="27.75" customHeight="1">
      <c r="A120" s="37">
        <v>20906</v>
      </c>
      <c r="B120" s="37" t="s">
        <v>198</v>
      </c>
      <c r="C120" s="27">
        <v>72</v>
      </c>
      <c r="D120" s="27">
        <f>1+5</f>
        <v>6</v>
      </c>
      <c r="E120" s="27"/>
      <c r="F120" s="27">
        <v>51</v>
      </c>
      <c r="G120" s="27">
        <f>280+23</f>
        <v>303</v>
      </c>
      <c r="H120" s="27">
        <f>768+98-51</f>
        <v>815</v>
      </c>
      <c r="I120" s="27">
        <v>0</v>
      </c>
      <c r="J120" s="27">
        <f>131+90-23</f>
        <v>198</v>
      </c>
      <c r="K120" s="27">
        <v>0</v>
      </c>
      <c r="L120" s="27"/>
      <c r="M120" s="27">
        <v>14</v>
      </c>
      <c r="N120" s="27">
        <v>245</v>
      </c>
      <c r="O120" s="25">
        <f t="shared" si="3"/>
        <v>1704</v>
      </c>
    </row>
    <row r="121" spans="1:15" ht="27.75" customHeight="1">
      <c r="A121" s="37">
        <v>21001</v>
      </c>
      <c r="B121" s="37" t="s">
        <v>199</v>
      </c>
      <c r="C121" s="27">
        <f>12-11</f>
        <v>1</v>
      </c>
      <c r="D121" s="27">
        <v>2</v>
      </c>
      <c r="E121" s="27">
        <v>1751</v>
      </c>
      <c r="F121" s="27">
        <v>21</v>
      </c>
      <c r="G121" s="27">
        <f>113+9</f>
        <v>122</v>
      </c>
      <c r="H121" s="27">
        <f>692-401+37-21</f>
        <v>307</v>
      </c>
      <c r="I121" s="27">
        <v>0</v>
      </c>
      <c r="J121" s="27">
        <f>111-40+49-9</f>
        <v>111</v>
      </c>
      <c r="K121" s="27"/>
      <c r="L121" s="27"/>
      <c r="M121" s="27">
        <v>6</v>
      </c>
      <c r="N121" s="27">
        <v>99</v>
      </c>
      <c r="O121" s="25">
        <f t="shared" si="3"/>
        <v>2420</v>
      </c>
    </row>
    <row r="122" spans="1:15" ht="27.75" customHeight="1">
      <c r="A122" s="37">
        <v>21002</v>
      </c>
      <c r="B122" s="37" t="s">
        <v>200</v>
      </c>
      <c r="C122" s="27"/>
      <c r="D122" s="27">
        <v>0</v>
      </c>
      <c r="E122" s="27"/>
      <c r="F122" s="27"/>
      <c r="G122" s="27"/>
      <c r="H122" s="27"/>
      <c r="I122" s="27"/>
      <c r="J122" s="27"/>
      <c r="K122" s="27"/>
      <c r="L122" s="27"/>
      <c r="M122" s="27">
        <v>0</v>
      </c>
      <c r="N122" s="27">
        <v>0</v>
      </c>
      <c r="O122" s="25">
        <f t="shared" si="3"/>
        <v>0</v>
      </c>
    </row>
    <row r="123" spans="1:15" ht="27.75" customHeight="1">
      <c r="A123" s="37">
        <v>21003</v>
      </c>
      <c r="B123" s="37" t="s">
        <v>201</v>
      </c>
      <c r="C123" s="27"/>
      <c r="D123" s="27">
        <v>0</v>
      </c>
      <c r="E123" s="27">
        <f>920+18</f>
        <v>938</v>
      </c>
      <c r="F123" s="27"/>
      <c r="G123" s="27"/>
      <c r="H123" s="27"/>
      <c r="I123" s="27"/>
      <c r="J123" s="27"/>
      <c r="K123" s="27"/>
      <c r="L123" s="27"/>
      <c r="M123" s="27">
        <v>0</v>
      </c>
      <c r="N123" s="27">
        <v>0</v>
      </c>
      <c r="O123" s="25">
        <f t="shared" si="3"/>
        <v>938</v>
      </c>
    </row>
    <row r="124" spans="1:15" ht="27.75" customHeight="1">
      <c r="A124" s="37">
        <v>21004</v>
      </c>
      <c r="B124" s="37" t="s">
        <v>202</v>
      </c>
      <c r="C124" s="27"/>
      <c r="D124" s="27">
        <v>0</v>
      </c>
      <c r="E124" s="27">
        <v>773</v>
      </c>
      <c r="F124" s="27"/>
      <c r="G124" s="27"/>
      <c r="H124" s="27"/>
      <c r="I124" s="27"/>
      <c r="J124" s="27"/>
      <c r="K124" s="27"/>
      <c r="L124" s="27"/>
      <c r="M124" s="27">
        <v>0</v>
      </c>
      <c r="N124" s="27">
        <v>0</v>
      </c>
      <c r="O124" s="25">
        <f t="shared" si="3"/>
        <v>773</v>
      </c>
    </row>
    <row r="125" spans="1:15" ht="27.75" customHeight="1">
      <c r="A125" s="37">
        <v>21005</v>
      </c>
      <c r="B125" s="37" t="s">
        <v>203</v>
      </c>
      <c r="C125" s="27"/>
      <c r="D125" s="27">
        <v>0</v>
      </c>
      <c r="E125" s="27">
        <v>44</v>
      </c>
      <c r="F125" s="27">
        <v>1637</v>
      </c>
      <c r="G125" s="27"/>
      <c r="H125" s="27"/>
      <c r="I125" s="27"/>
      <c r="J125" s="27"/>
      <c r="K125" s="27"/>
      <c r="L125" s="27"/>
      <c r="M125" s="27">
        <v>0</v>
      </c>
      <c r="N125" s="27">
        <v>0</v>
      </c>
      <c r="O125" s="25">
        <f t="shared" si="3"/>
        <v>1681</v>
      </c>
    </row>
    <row r="126" spans="1:15" ht="27.75" customHeight="1">
      <c r="A126" s="37">
        <v>21006</v>
      </c>
      <c r="B126" s="37" t="s">
        <v>204</v>
      </c>
      <c r="C126" s="27"/>
      <c r="D126" s="27">
        <v>0</v>
      </c>
      <c r="E126" s="27">
        <v>300</v>
      </c>
      <c r="F126" s="27">
        <v>888</v>
      </c>
      <c r="G126" s="27"/>
      <c r="H126" s="27"/>
      <c r="I126" s="27"/>
      <c r="J126" s="27"/>
      <c r="K126" s="27"/>
      <c r="L126" s="27">
        <v>104</v>
      </c>
      <c r="M126" s="27">
        <v>0</v>
      </c>
      <c r="N126" s="27">
        <v>0</v>
      </c>
      <c r="O126" s="25">
        <f t="shared" si="3"/>
        <v>1292</v>
      </c>
    </row>
    <row r="127" spans="1:15" ht="24.75" customHeight="1">
      <c r="A127" s="37">
        <v>21100</v>
      </c>
      <c r="B127" s="37" t="s">
        <v>205</v>
      </c>
      <c r="C127" s="27"/>
      <c r="D127" s="27">
        <v>0</v>
      </c>
      <c r="E127" s="27">
        <v>71</v>
      </c>
      <c r="F127" s="27"/>
      <c r="G127" s="27"/>
      <c r="H127" s="27"/>
      <c r="I127" s="27"/>
      <c r="J127" s="27"/>
      <c r="K127" s="27"/>
      <c r="L127" s="27"/>
      <c r="M127" s="27">
        <v>0</v>
      </c>
      <c r="N127" s="27">
        <v>0</v>
      </c>
      <c r="O127" s="25">
        <f t="shared" si="3"/>
        <v>71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20991</v>
      </c>
      <c r="D128" s="44">
        <f aca="true" t="shared" si="4" ref="D128:N128">SUM(D96:D127)</f>
        <v>319</v>
      </c>
      <c r="E128" s="44">
        <f t="shared" si="4"/>
        <v>89566</v>
      </c>
      <c r="F128" s="44">
        <f t="shared" si="4"/>
        <v>7484</v>
      </c>
      <c r="G128" s="44">
        <f t="shared" si="4"/>
        <v>12910</v>
      </c>
      <c r="H128" s="44">
        <f t="shared" si="4"/>
        <v>30499</v>
      </c>
      <c r="I128" s="44">
        <f t="shared" si="4"/>
        <v>0</v>
      </c>
      <c r="J128" s="44">
        <f t="shared" si="4"/>
        <v>3046</v>
      </c>
      <c r="K128" s="44">
        <f t="shared" si="4"/>
        <v>4501</v>
      </c>
      <c r="L128" s="44">
        <f t="shared" si="4"/>
        <v>2868</v>
      </c>
      <c r="M128" s="44">
        <f t="shared" si="4"/>
        <v>505</v>
      </c>
      <c r="N128" s="44">
        <f t="shared" si="4"/>
        <v>8731</v>
      </c>
      <c r="O128" s="44">
        <f t="shared" si="3"/>
        <v>181420</v>
      </c>
    </row>
    <row r="129" spans="1:15" ht="24.75" customHeight="1" thickTop="1">
      <c r="A129" s="40">
        <v>30100</v>
      </c>
      <c r="B129" s="40" t="s">
        <v>207</v>
      </c>
      <c r="C129" s="41">
        <v>346</v>
      </c>
      <c r="D129" s="41">
        <f>11+27</f>
        <v>38</v>
      </c>
      <c r="E129" s="41"/>
      <c r="F129" s="41">
        <v>270</v>
      </c>
      <c r="G129" s="41">
        <f>1060+121</f>
        <v>1181</v>
      </c>
      <c r="H129" s="41">
        <f>4276+544-270</f>
        <v>4550</v>
      </c>
      <c r="I129" s="41">
        <v>0</v>
      </c>
      <c r="J129" s="41">
        <f>476+327-121</f>
        <v>682</v>
      </c>
      <c r="K129" s="41"/>
      <c r="L129" s="41">
        <f>3+207</f>
        <v>210</v>
      </c>
      <c r="M129" s="41">
        <v>75</v>
      </c>
      <c r="N129" s="41">
        <v>1297</v>
      </c>
      <c r="O129" s="42">
        <f t="shared" si="3"/>
        <v>8649</v>
      </c>
    </row>
    <row r="130" spans="1:15" ht="27.75" customHeight="1">
      <c r="A130" s="37">
        <v>30201</v>
      </c>
      <c r="B130" s="37" t="s">
        <v>208</v>
      </c>
      <c r="C130" s="27">
        <f>3470+178</f>
        <v>3648</v>
      </c>
      <c r="D130" s="27">
        <f>4+1+1+9</f>
        <v>15</v>
      </c>
      <c r="E130" s="27">
        <v>900</v>
      </c>
      <c r="F130" s="27">
        <v>88</v>
      </c>
      <c r="G130" s="27">
        <f>1417+40</f>
        <v>1457</v>
      </c>
      <c r="H130" s="27">
        <f>981+263+233+188-88</f>
        <v>1577</v>
      </c>
      <c r="I130" s="27">
        <v>0</v>
      </c>
      <c r="J130" s="27">
        <f>45+7+22+51-40</f>
        <v>85</v>
      </c>
      <c r="K130" s="27"/>
      <c r="L130" s="27">
        <f>26+292</f>
        <v>318</v>
      </c>
      <c r="M130" s="27">
        <v>24</v>
      </c>
      <c r="N130" s="27">
        <v>424</v>
      </c>
      <c r="O130" s="25">
        <f t="shared" si="3"/>
        <v>8536</v>
      </c>
    </row>
    <row r="131" spans="1:15" ht="24.75" customHeight="1">
      <c r="A131" s="37">
        <v>30202</v>
      </c>
      <c r="B131" s="37" t="s">
        <v>209</v>
      </c>
      <c r="C131" s="27">
        <f>621+2964+4579+76+645+1964+1252+85-138-1407-589+185</f>
        <v>10237</v>
      </c>
      <c r="D131" s="27">
        <f>16+32+33+1+8+2+3+5-20+158+2</f>
        <v>240</v>
      </c>
      <c r="E131" s="27">
        <f>1076+47263+1382</f>
        <v>49721</v>
      </c>
      <c r="F131" s="27">
        <f>5+770+1572+2811</f>
        <v>5158</v>
      </c>
      <c r="G131" s="27">
        <f>1725+7088+1257+706+2387</f>
        <v>13163</v>
      </c>
      <c r="H131" s="27">
        <f>7472+2705+13432+323+1784+339+10+935+909-1380+3373-38-1572</f>
        <v>28292</v>
      </c>
      <c r="I131" s="27">
        <v>215</v>
      </c>
      <c r="J131" s="27">
        <f>236+345+362+3+57+32+1+22-200+590-706</f>
        <v>742</v>
      </c>
      <c r="K131" s="27">
        <f>8+1+13+55</f>
        <v>77</v>
      </c>
      <c r="L131" s="27">
        <f>1879+2105+291</f>
        <v>4275</v>
      </c>
      <c r="M131" s="27">
        <v>436</v>
      </c>
      <c r="N131" s="27">
        <v>7541</v>
      </c>
      <c r="O131" s="25">
        <f t="shared" si="3"/>
        <v>120097</v>
      </c>
    </row>
    <row r="132" spans="1:15" ht="24.75" customHeight="1">
      <c r="A132" s="37">
        <v>30300</v>
      </c>
      <c r="B132" s="37" t="s">
        <v>210</v>
      </c>
      <c r="C132" s="27"/>
      <c r="D132" s="27">
        <v>0</v>
      </c>
      <c r="E132" s="27"/>
      <c r="F132" s="27"/>
      <c r="G132" s="27"/>
      <c r="H132" s="27"/>
      <c r="I132" s="27"/>
      <c r="J132" s="27"/>
      <c r="K132" s="27"/>
      <c r="L132" s="27"/>
      <c r="M132" s="27">
        <v>0</v>
      </c>
      <c r="N132" s="27">
        <v>0</v>
      </c>
      <c r="O132" s="25">
        <f t="shared" si="3"/>
        <v>0</v>
      </c>
    </row>
    <row r="133" spans="1:15" ht="24.75" customHeight="1">
      <c r="A133" s="37">
        <v>30400</v>
      </c>
      <c r="B133" s="37" t="s">
        <v>211</v>
      </c>
      <c r="C133" s="27">
        <v>138</v>
      </c>
      <c r="D133" s="27">
        <f>20+9</f>
        <v>29</v>
      </c>
      <c r="E133" s="27"/>
      <c r="F133" s="27">
        <v>94</v>
      </c>
      <c r="G133" s="27">
        <f>1565+94</f>
        <v>1659</v>
      </c>
      <c r="H133" s="27">
        <f>1380+175-94</f>
        <v>1461</v>
      </c>
      <c r="I133" s="27">
        <v>0</v>
      </c>
      <c r="J133" s="27">
        <f>200+137</f>
        <v>337</v>
      </c>
      <c r="K133" s="27">
        <f>66+164-42</f>
        <v>188</v>
      </c>
      <c r="L133" s="27"/>
      <c r="M133" s="27">
        <v>26</v>
      </c>
      <c r="N133" s="27">
        <v>449</v>
      </c>
      <c r="O133" s="25">
        <f t="shared" si="3"/>
        <v>4381</v>
      </c>
    </row>
    <row r="134" spans="1:15" ht="24.75" customHeight="1">
      <c r="A134" s="37">
        <v>30500</v>
      </c>
      <c r="B134" s="37" t="s">
        <v>212</v>
      </c>
      <c r="C134" s="27"/>
      <c r="D134" s="27">
        <v>0</v>
      </c>
      <c r="E134" s="27"/>
      <c r="F134" s="27"/>
      <c r="G134" s="27"/>
      <c r="H134" s="27"/>
      <c r="I134" s="27"/>
      <c r="J134" s="27"/>
      <c r="K134" s="27"/>
      <c r="L134" s="27"/>
      <c r="M134" s="27">
        <v>0</v>
      </c>
      <c r="N134" s="27">
        <v>0</v>
      </c>
      <c r="O134" s="25">
        <f t="shared" si="3"/>
        <v>0</v>
      </c>
    </row>
    <row r="135" spans="1:15" ht="24.75" customHeight="1">
      <c r="A135" s="37">
        <v>30600</v>
      </c>
      <c r="B135" s="37" t="s">
        <v>213</v>
      </c>
      <c r="C135" s="27">
        <v>398</v>
      </c>
      <c r="D135" s="27">
        <f>6+5</f>
        <v>11</v>
      </c>
      <c r="E135" s="27"/>
      <c r="F135" s="27">
        <f>163+49</f>
        <v>212</v>
      </c>
      <c r="G135" s="27">
        <v>22</v>
      </c>
      <c r="H135" s="27">
        <f>804+102-49</f>
        <v>857</v>
      </c>
      <c r="I135" s="27">
        <v>0</v>
      </c>
      <c r="J135" s="27">
        <f>56+39-22</f>
        <v>73</v>
      </c>
      <c r="K135" s="27"/>
      <c r="L135" s="27"/>
      <c r="M135" s="27">
        <v>14</v>
      </c>
      <c r="N135" s="27">
        <v>235</v>
      </c>
      <c r="O135" s="25">
        <f t="shared" si="3"/>
        <v>1822</v>
      </c>
    </row>
    <row r="136" spans="1:15" ht="24.75" customHeight="1">
      <c r="A136" s="37">
        <v>30700</v>
      </c>
      <c r="B136" s="37" t="s">
        <v>214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>
        <v>0</v>
      </c>
      <c r="O136" s="25">
        <f t="shared" si="3"/>
        <v>0</v>
      </c>
    </row>
    <row r="137" spans="1:15" ht="24.75" customHeight="1">
      <c r="A137" s="45">
        <v>39999</v>
      </c>
      <c r="B137" s="45" t="s">
        <v>215</v>
      </c>
      <c r="C137" s="46">
        <f>SUM(C129:C136)</f>
        <v>14767</v>
      </c>
      <c r="D137" s="46">
        <f aca="true" t="shared" si="5" ref="D137:N137">SUM(D129:D136)</f>
        <v>333</v>
      </c>
      <c r="E137" s="46">
        <f t="shared" si="5"/>
        <v>50621</v>
      </c>
      <c r="F137" s="46">
        <f t="shared" si="5"/>
        <v>5822</v>
      </c>
      <c r="G137" s="46">
        <f t="shared" si="5"/>
        <v>17482</v>
      </c>
      <c r="H137" s="46">
        <f t="shared" si="5"/>
        <v>36737</v>
      </c>
      <c r="I137" s="46">
        <f t="shared" si="5"/>
        <v>215</v>
      </c>
      <c r="J137" s="46">
        <f t="shared" si="5"/>
        <v>1919</v>
      </c>
      <c r="K137" s="46">
        <f t="shared" si="5"/>
        <v>265</v>
      </c>
      <c r="L137" s="46">
        <f t="shared" si="5"/>
        <v>4803</v>
      </c>
      <c r="M137" s="46">
        <f t="shared" si="5"/>
        <v>575</v>
      </c>
      <c r="N137" s="46">
        <f t="shared" si="5"/>
        <v>9946</v>
      </c>
      <c r="O137" s="46">
        <f t="shared" si="3"/>
        <v>143485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36754</v>
      </c>
      <c r="D138" s="44">
        <f aca="true" t="shared" si="6" ref="D138:N138">SUM(D95,D128,D137)</f>
        <v>697</v>
      </c>
      <c r="E138" s="44">
        <f t="shared" si="6"/>
        <v>140536</v>
      </c>
      <c r="F138" s="44">
        <f t="shared" si="6"/>
        <v>14246</v>
      </c>
      <c r="G138" s="44">
        <f t="shared" si="6"/>
        <v>31610</v>
      </c>
      <c r="H138" s="44">
        <f t="shared" si="6"/>
        <v>71508</v>
      </c>
      <c r="I138" s="44">
        <f t="shared" si="6"/>
        <v>215</v>
      </c>
      <c r="J138" s="44">
        <f t="shared" si="6"/>
        <v>5124</v>
      </c>
      <c r="K138" s="44">
        <f t="shared" si="6"/>
        <v>6384</v>
      </c>
      <c r="L138" s="44">
        <f t="shared" si="6"/>
        <v>7750</v>
      </c>
      <c r="M138" s="44">
        <f t="shared" si="6"/>
        <v>1153</v>
      </c>
      <c r="N138" s="44">
        <f t="shared" si="6"/>
        <v>19937</v>
      </c>
      <c r="O138" s="44">
        <f t="shared" si="3"/>
        <v>335914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67" t="s">
        <v>216</v>
      </c>
      <c r="B143" s="70" t="s">
        <v>217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21">
      <c r="A144" s="68"/>
      <c r="B144" s="70" t="s">
        <v>218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21.75" thickBot="1">
      <c r="A145" s="69"/>
      <c r="B145" s="72" t="s">
        <v>219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</sheetData>
  <sheetProtection password="D96F" sheet="1" objects="1" scenarios="1" selectLockedCells="1"/>
  <mergeCells count="103">
    <mergeCell ref="A1:B1"/>
    <mergeCell ref="C1:D1"/>
    <mergeCell ref="K87:K88"/>
    <mergeCell ref="L87:L88"/>
    <mergeCell ref="M87:M88"/>
    <mergeCell ref="N87:N88"/>
    <mergeCell ref="C87:D87"/>
    <mergeCell ref="E87:G87"/>
    <mergeCell ref="H87:H88"/>
    <mergeCell ref="I87:I88"/>
    <mergeCell ref="O87:O88"/>
    <mergeCell ref="A143:A145"/>
    <mergeCell ref="B143:O143"/>
    <mergeCell ref="B144:O144"/>
    <mergeCell ref="B145:O145"/>
    <mergeCell ref="B83:N83"/>
    <mergeCell ref="B84:N84"/>
    <mergeCell ref="B85:N85"/>
    <mergeCell ref="A87:A88"/>
    <mergeCell ref="B87:B88"/>
    <mergeCell ref="J87:J88"/>
    <mergeCell ref="B76:N76"/>
    <mergeCell ref="B77:N77"/>
    <mergeCell ref="B78:N78"/>
    <mergeCell ref="B79:N79"/>
    <mergeCell ref="B80:N80"/>
    <mergeCell ref="B82:N82"/>
    <mergeCell ref="B70:N70"/>
    <mergeCell ref="B71:N71"/>
    <mergeCell ref="B72:N72"/>
    <mergeCell ref="B73:N73"/>
    <mergeCell ref="B74:N74"/>
    <mergeCell ref="B75:N75"/>
    <mergeCell ref="B64:N64"/>
    <mergeCell ref="B65:N65"/>
    <mergeCell ref="B66:N66"/>
    <mergeCell ref="B67:N67"/>
    <mergeCell ref="B68:N68"/>
    <mergeCell ref="B69:N69"/>
    <mergeCell ref="B56:N56"/>
    <mergeCell ref="B58:N58"/>
    <mergeCell ref="B59:N59"/>
    <mergeCell ref="B60:N60"/>
    <mergeCell ref="B61:N61"/>
    <mergeCell ref="B63:N63"/>
    <mergeCell ref="B50:N50"/>
    <mergeCell ref="B51:N51"/>
    <mergeCell ref="B52:N52"/>
    <mergeCell ref="B53:N53"/>
    <mergeCell ref="B54:N54"/>
    <mergeCell ref="B55:N55"/>
    <mergeCell ref="B44:N44"/>
    <mergeCell ref="B45:N45"/>
    <mergeCell ref="B46:N46"/>
    <mergeCell ref="B47:N47"/>
    <mergeCell ref="B48:N48"/>
    <mergeCell ref="B49:N49"/>
    <mergeCell ref="B38:N38"/>
    <mergeCell ref="B39:N39"/>
    <mergeCell ref="B40:N40"/>
    <mergeCell ref="B41:N41"/>
    <mergeCell ref="B42:N42"/>
    <mergeCell ref="B43:N43"/>
    <mergeCell ref="B31:N31"/>
    <mergeCell ref="B32:N32"/>
    <mergeCell ref="B34:N34"/>
    <mergeCell ref="B35:N35"/>
    <mergeCell ref="B36:N36"/>
    <mergeCell ref="B37:N37"/>
    <mergeCell ref="B25:N25"/>
    <mergeCell ref="B26:N26"/>
    <mergeCell ref="B27:N27"/>
    <mergeCell ref="B28:N28"/>
    <mergeCell ref="B29:N29"/>
    <mergeCell ref="B30:N30"/>
    <mergeCell ref="B19:N19"/>
    <mergeCell ref="B20:N20"/>
    <mergeCell ref="B21:N21"/>
    <mergeCell ref="B22:N22"/>
    <mergeCell ref="B23:N23"/>
    <mergeCell ref="B24:N24"/>
    <mergeCell ref="B13:N13"/>
    <mergeCell ref="B14:N14"/>
    <mergeCell ref="B15:N15"/>
    <mergeCell ref="B16:N16"/>
    <mergeCell ref="B17:N17"/>
    <mergeCell ref="B18:N18"/>
    <mergeCell ref="M2:M3"/>
    <mergeCell ref="N2:N3"/>
    <mergeCell ref="O2:O3"/>
    <mergeCell ref="B10:N10"/>
    <mergeCell ref="B11:N11"/>
    <mergeCell ref="B12:N12"/>
    <mergeCell ref="J1:O1"/>
    <mergeCell ref="A2:A3"/>
    <mergeCell ref="B2:B3"/>
    <mergeCell ref="C2:D2"/>
    <mergeCell ref="E2:G2"/>
    <mergeCell ref="H2:H3"/>
    <mergeCell ref="I2:I3"/>
    <mergeCell ref="J2:J3"/>
    <mergeCell ref="K2:K3"/>
    <mergeCell ref="L2:L3"/>
  </mergeCells>
  <dataValidations count="1">
    <dataValidation type="whole" showErrorMessage="1" errorTitle="Valore immesso non valdo" error="Il valore immesso deve essere in migliaia di Euro, senza segno e senza decimali" sqref="C5:N7 O11:O32 O35:O56 O59:O61 O64:O79 O83:O85 C89:N94 C96:N127 C129:N136">
      <formula1>0</formula1>
      <formula2>1000000</formula2>
    </dataValidation>
  </dataValidations>
  <printOptions/>
  <pageMargins left="0.1968503937007874" right="0.7480314960629921" top="0.3937007874015748" bottom="0.984251968503937" header="0.1968503937007874" footer="0.5118110236220472"/>
  <pageSetup fitToHeight="7" fitToWidth="1" horizontalDpi="600" verticalDpi="600" orientation="landscape" paperSize="9" scale="54" r:id="rId1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g.evangelista</cp:lastModifiedBy>
  <cp:lastPrinted>2017-07-19T16:42:03Z</cp:lastPrinted>
  <dcterms:created xsi:type="dcterms:W3CDTF">2014-01-22T16:03:44Z</dcterms:created>
  <dcterms:modified xsi:type="dcterms:W3CDTF">2017-07-19T16:42:16Z</dcterms:modified>
  <cp:category/>
  <cp:version/>
  <cp:contentType/>
  <cp:contentStatus/>
</cp:coreProperties>
</file>